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9905" windowHeight="8190" tabRatio="864"/>
  </bookViews>
  <sheets>
    <sheet name="OVERVIEW" sheetId="21" r:id="rId1"/>
    <sheet name="Buchner1995" sheetId="15" r:id="rId2"/>
    <sheet name="Hamoudi1998" sheetId="1" r:id="rId3"/>
    <sheet name="Ersdal2000" sheetId="4" r:id="rId4"/>
    <sheet name="Stansberg2001" sheetId="25" r:id="rId5"/>
    <sheet name="Cox2001" sheetId="18" r:id="rId6"/>
    <sheet name="Ogawa2001" sheetId="2" r:id="rId7"/>
    <sheet name="Faltinsen2002" sheetId="17" r:id="rId8"/>
    <sheet name="Ogawa2003" sheetId="10" r:id="rId9"/>
    <sheet name="Mori2003" sheetId="14" r:id="rId10"/>
    <sheet name="Greco2004" sheetId="22" r:id="rId11"/>
    <sheet name="Soares2005" sheetId="12" r:id="rId12"/>
    <sheet name="Greco2005" sheetId="19" r:id="rId13"/>
    <sheet name="Greco2007" sheetId="20" r:id="rId14"/>
    <sheet name="Greco2012" sheetId="23" r:id="rId15"/>
    <sheet name="Lee2012" sheetId="5" r:id="rId16"/>
    <sheet name="Ariyarathne2012" sheetId="9" r:id="rId17"/>
    <sheet name="Liut2013" sheetId="7" r:id="rId18"/>
    <sheet name="Song2015" sheetId="6" r:id="rId19"/>
    <sheet name="Scharnke2017" sheetId="24" r:id="rId20"/>
    <sheet name="Chuang2018" sheetId="8" r:id="rId21"/>
    <sheet name="Lee2020" sheetId="13" r:id="rId22"/>
    <sheet name="Hernandez-Fontes2020" sheetId="11" r:id="rId23"/>
    <sheet name="Hernandez-Fontes2020a" sheetId="16" r:id="rId24"/>
    <sheet name="Template" sheetId="3" r:id="rId25"/>
  </sheets>
  <definedNames>
    <definedName name="B">Ogawa2001!$C$13</definedName>
    <definedName name="c0_l">Ogawa2001!#REF!</definedName>
    <definedName name="D">Ogawa2001!$C$7</definedName>
    <definedName name="D_T">Ogawa2001!#REF!</definedName>
    <definedName name="H">Ogawa2001!#REF!</definedName>
    <definedName name="Hw_l">Ogawa2001!$M$14</definedName>
    <definedName name="k">Ogawa2001!$M$8</definedName>
    <definedName name="kw_l">Ogawa2001!#REF!</definedName>
    <definedName name="lambda_l">Ogawa2001!#REF!</definedName>
    <definedName name="L_pp">Ogawa2001!$C$12</definedName>
    <definedName name="marg_u">Ogawa2001!#REF!</definedName>
    <definedName name="omega_l">Ogawa2001!$M$15</definedName>
    <definedName name="Tp_max">Ogawa2001!$C$29</definedName>
    <definedName name="Tw_l">Ogawa2001!#REF!</definedName>
    <definedName name="T_full">Ogawa2001!#REF!</definedName>
    <definedName name="Ucurr">Ogawa2001!#REF!</definedName>
    <definedName name="U_max">Ogawa2001!#REF!</definedName>
    <definedName name="v_ship">Ogawa2001!$C$17</definedName>
  </definedNames>
  <calcPr calcId="144525"/>
</workbook>
</file>

<file path=xl/sharedStrings.xml><?xml version="1.0" encoding="utf-8"?>
<sst xmlns="http://schemas.openxmlformats.org/spreadsheetml/2006/main" count="1864" uniqueCount="177">
  <si>
    <t>Research</t>
  </si>
  <si>
    <t>Vessel type</t>
  </si>
  <si>
    <t>Wave type</t>
  </si>
  <si>
    <t>Wave period</t>
  </si>
  <si>
    <t>Wave height</t>
  </si>
  <si>
    <t>Velocity</t>
  </si>
  <si>
    <t>Scaling</t>
  </si>
  <si>
    <t>Topic</t>
  </si>
  <si>
    <t>Wave period full scale</t>
  </si>
  <si>
    <t>Wave height full scale</t>
  </si>
  <si>
    <t>Velocity full scale</t>
  </si>
  <si>
    <t>#</t>
  </si>
  <si>
    <t>min [s]</t>
  </si>
  <si>
    <t>max [s]</t>
  </si>
  <si>
    <t>min [m]</t>
  </si>
  <si>
    <t>max [m]</t>
  </si>
  <si>
    <t>[m/s]</t>
  </si>
  <si>
    <t>1/</t>
  </si>
  <si>
    <t>1:</t>
  </si>
  <si>
    <t>Buchner1995</t>
  </si>
  <si>
    <t>Looks at green water over the bow of an FPSO. Influence of various parameters is described. New breakwater tested</t>
  </si>
  <si>
    <t>Hamoudi1998</t>
  </si>
  <si>
    <t xml:space="preserve">Probability of green water occurrence based on vertical relative motion exceeding the freeboard. Quantifies the significant impact load due to the force in the longitudinal direction as well as the probability of green seas occurrence. </t>
  </si>
  <si>
    <t>Ersdal2000</t>
  </si>
  <si>
    <t xml:space="preserve">Green water does damage at sea states lower than 100-year sea states. Modifications made to the ship to prevent further green water damage. Natural frequency of pitch, roll and heave should be tested </t>
  </si>
  <si>
    <t>Stansberg2001</t>
  </si>
  <si>
    <t>Tested FPSO in irregular waves, storm like, without current. The critical events happen often in steep, energetic waves, but the occurence also depends on the wave poeriod with respect to the pitch motions. Finds that events can differ. Most critical events very rare, challenge to predict their probability</t>
  </si>
  <si>
    <t>Cox2001</t>
  </si>
  <si>
    <t>Probability distribution of exceedance of free board to predict the occurance of green water</t>
  </si>
  <si>
    <t>Ogawa2001</t>
  </si>
  <si>
    <t>Experiments for long-term predictions of shipping water loads on the deck at the bow. Regular waves show dependency of the wave height. A PDF for short term prediction was proposed. When testing for irregular waves it shows better agreement compared to previous methods. Method seems similar to Buchners method</t>
  </si>
  <si>
    <t>Faltinsen2002</t>
  </si>
  <si>
    <t xml:space="preserve">Simulations conducted in 2D to evaluate green water loading. It is similar to Greco's thesis but more compactly presented. </t>
  </si>
  <si>
    <t>Ogawa2003</t>
  </si>
  <si>
    <t xml:space="preserve">Experiments with a vessel in both regular and irregular waves with a forward velocity. A present method is shown, and found to be a better predictor of estimating long-term probability of green water load. </t>
  </si>
  <si>
    <t>Greco2004</t>
  </si>
  <si>
    <t>Ship in headwaves, the physics of the water coming on board and the impact induced by this water on vertival structures. Experiments and BEM (potential). Hydroelasticity of minor importance</t>
  </si>
  <si>
    <t>Mori2003</t>
  </si>
  <si>
    <t xml:space="preserve">Creates again a statistical model for the relative wave height to predict wave overtopping. </t>
  </si>
  <si>
    <t>Soares2005</t>
  </si>
  <si>
    <t>Moored FPSO, created a probability distribution fo green water phenomena for water on deck depending on the relative wave height</t>
  </si>
  <si>
    <t>Greco2005</t>
  </si>
  <si>
    <t xml:space="preserve">Kind of typical Greco experiments. It looks at loads on deck with plunging waves. </t>
  </si>
  <si>
    <t>Greco2007</t>
  </si>
  <si>
    <t>Describes different ways of the water coming onto the deck and the type of impacts. These are pluning waves, without plunging, and the hammer fist phenomena. The first and last cause the greatest loading</t>
  </si>
  <si>
    <t xml:space="preserve">A solver developed by Greco and Lugni combines a weakly nonlinear external solution with a 2D in-deck shallow-water approximation and a local analytical analysis of the bottom-slamming phenomenon. For vessels at rest of limited speed. Water shipping severity is lambda = 1 - 1.25 L. </t>
  </si>
  <si>
    <t>Lee2012</t>
  </si>
  <si>
    <t>For in a green water validation data base. Focussed on FPSO's with head waves in regular waves</t>
  </si>
  <si>
    <t>Ariyarathne2012</t>
  </si>
  <si>
    <t>Two types of pressure variations: impulsive and non-impulsive. Lots of literature, shows the evoluation of green water knowledge. The complexity is within finding the dependencies of the load on the flow parameters, finding the influences of air intrepment on the load, the influence of breaking waves. Pressure due to green water often on a small area</t>
  </si>
  <si>
    <t>Liut2013</t>
  </si>
  <si>
    <t xml:space="preserve">quasi-three-dimensional model to simulate shallow water phenomena for green water effects on a variety of platforms in motion. </t>
  </si>
  <si>
    <t>Song2015</t>
  </si>
  <si>
    <t>Uses bubble image velocimetr technique, detaile 2D surface flow structures on a horizontal plane were succesfully obtained. This includes time and space distributions. Has some specific results on the maximum pressures</t>
  </si>
  <si>
    <t>Scharnke2017</t>
  </si>
  <si>
    <t>Breaking waves using PIV. Link between wave kinematics and green water loadings on deck are investigated and simplified loading models for estimating horizontal deck impact loads were applied</t>
  </si>
  <si>
    <t>Chuang2018</t>
  </si>
  <si>
    <t>Proposes a prediction equation for green water velocity distribution for random waves. This is from experiments which create two consecutive plunging waves. 179 random green water events in random waves were investigated</t>
  </si>
  <si>
    <t>Lee2020</t>
  </si>
  <si>
    <t>Used PIV and BIV to follow bubbly flow to study the flow kinematichs of multi-phase flow. The experiments were conducted for a block with the dimensions of a scaled down FPSO. Pressures were measured. Air entrapment caused oscilating pressures.</t>
  </si>
  <si>
    <t>Hernandez-Fontes2020</t>
  </si>
  <si>
    <t>Systematic experiments for patterns of shipping water events and loads. Rectangular structure using dambreak. Suggested that they are for validation cases</t>
  </si>
  <si>
    <t>Hernandez-Fontes2020a</t>
  </si>
  <si>
    <t>For marine structures. Investigates evolustion of green water on fixed structure, produced by incoming wave trains. The structures are boxes. Created a analytical model to find the vertical loadings from green water, and by using the kernel of one event, the effect of other events can be estimated.</t>
  </si>
  <si>
    <t>SUMMARY</t>
  </si>
  <si>
    <t>Vessel</t>
  </si>
  <si>
    <t>Wave types</t>
  </si>
  <si>
    <t>U_max [m/s]</t>
  </si>
  <si>
    <t>Scaling mean</t>
  </si>
  <si>
    <t>Scaling max</t>
  </si>
  <si>
    <t>T_min [s]</t>
  </si>
  <si>
    <t>T_max [s]</t>
  </si>
  <si>
    <t>H_min [m]</t>
  </si>
  <si>
    <t>H_max [m]</t>
  </si>
  <si>
    <t>Box</t>
  </si>
  <si>
    <t>Irregular</t>
  </si>
  <si>
    <t>All wave types</t>
  </si>
  <si>
    <t>Ship</t>
  </si>
  <si>
    <t>Regular</t>
  </si>
  <si>
    <t>with ship</t>
  </si>
  <si>
    <t>Non-breaking</t>
  </si>
  <si>
    <t>Breaking</t>
  </si>
  <si>
    <t>Only regular</t>
  </si>
  <si>
    <t>JONSWAP</t>
  </si>
  <si>
    <t>Buchner, B</t>
  </si>
  <si>
    <t>The Impact of Green Water on FPSO Design</t>
  </si>
  <si>
    <t>Testing tank</t>
  </si>
  <si>
    <t>UNKNOWN</t>
  </si>
  <si>
    <t>Length</t>
  </si>
  <si>
    <t>m</t>
  </si>
  <si>
    <t>Width</t>
  </si>
  <si>
    <t>Depth</t>
  </si>
  <si>
    <t>Velocity min</t>
  </si>
  <si>
    <t>m/s</t>
  </si>
  <si>
    <t>Velocity max</t>
  </si>
  <si>
    <t>Full scale</t>
  </si>
  <si>
    <t>Breadth</t>
  </si>
  <si>
    <t>Draught</t>
  </si>
  <si>
    <t>Length/Beam ratio</t>
  </si>
  <si>
    <t>-</t>
  </si>
  <si>
    <t>Beam/Draught ratio</t>
  </si>
  <si>
    <t>Sailing velocity</t>
  </si>
  <si>
    <t>Experiments max</t>
  </si>
  <si>
    <t>Scalefactor used</t>
  </si>
  <si>
    <t>s</t>
  </si>
  <si>
    <t>Wave frequency</t>
  </si>
  <si>
    <t>rad/s</t>
  </si>
  <si>
    <t>Wave number</t>
  </si>
  <si>
    <t>1/m</t>
  </si>
  <si>
    <t>Wave length</t>
  </si>
  <si>
    <t>Wave steepness</t>
  </si>
  <si>
    <t>Relative waterdepth</t>
  </si>
  <si>
    <t xml:space="preserve">- </t>
  </si>
  <si>
    <t>Extra information</t>
  </si>
  <si>
    <t>JONSWAP H1/3</t>
  </si>
  <si>
    <t>JONSWAP Tp</t>
  </si>
  <si>
    <t>gamma</t>
  </si>
  <si>
    <t>Ship/box</t>
  </si>
  <si>
    <t>Hamoudi, B  Varyani, K S</t>
  </si>
  <si>
    <t>Significant Load and Green Water on Deck of Offshore Units/Vessels</t>
  </si>
  <si>
    <t>F/L ratio min</t>
  </si>
  <si>
    <t>F/L ratio max</t>
  </si>
  <si>
    <t>﻿</t>
  </si>
  <si>
    <t>Ersdal, Gerhard  Kvitrud, Arne</t>
  </si>
  <si>
    <t>Green water on Norwegian production ships</t>
  </si>
  <si>
    <t>Piesron-Moskowitz</t>
  </si>
  <si>
    <t>Torsethaugen</t>
  </si>
  <si>
    <t>Cox, Daniel T.  Scott, Christopher P.</t>
  </si>
  <si>
    <t>Exceedance probability for wave overtopping on a fixed deck</t>
  </si>
  <si>
    <t>Only deck, no model</t>
  </si>
  <si>
    <t>Ogawa, Yoshitaka  Taguchi, Harukuni  Watanabe, Iwao  Ishida, Shigesuke</t>
  </si>
  <si>
    <t>Long term prediction method of shipping water load for assessment of the bow height</t>
  </si>
  <si>
    <t>Dimensions tank are unknown</t>
  </si>
  <si>
    <t>Encountered waves</t>
  </si>
  <si>
    <t>Irregular waves period</t>
  </si>
  <si>
    <t>Irregular waves height</t>
  </si>
  <si>
    <t>Spectrum type</t>
  </si>
  <si>
    <t>ISSC</t>
  </si>
  <si>
    <t>Regular&amp;Irregular</t>
  </si>
  <si>
    <t xml:space="preserve">C.Faltinsen, O. M.  Greco, M.  Landrini, M. </t>
  </si>
  <si>
    <t>Green water loading on a FPSO</t>
  </si>
  <si>
    <t>Very vague what the actual data was</t>
  </si>
  <si>
    <t>Ogawa, Yoshitaka</t>
  </si>
  <si>
    <t>Long-term prediction method for the green water load and volume for an assessment of the load line</t>
  </si>
  <si>
    <t>Mori, Nobuhito  Cox, Daniel T.</t>
  </si>
  <si>
    <t>Dynamic properties of green water event in the overtopping of extreme waves on a fixed dock</t>
  </si>
  <si>
    <t>Greco, M.  Landrini, M.  Faltinsen, O. M.</t>
  </si>
  <si>
    <t>Impact flows and loads on ship-deck structures</t>
  </si>
  <si>
    <t>Soares, Carlos Guedes  Pascoal, R</t>
  </si>
  <si>
    <t>Experimental Study of the Probability Distributions of Green Water on the Bow of Floating Production Platforms</t>
  </si>
  <si>
    <t>Greco, M.  Faltinsen, O. M.  Landrini, M.</t>
  </si>
  <si>
    <t>Shipping of water on a two-dimensional structure</t>
  </si>
  <si>
    <t>Length/Draught ratio</t>
  </si>
  <si>
    <t>Greco, M.  Colicchio, G.  Faltinsen, O. M.</t>
  </si>
  <si>
    <t>Shipping of water on a two-dimensional structure. Part 2</t>
  </si>
  <si>
    <t>Lee, Hyun Ho  Lim, Ho Jeong  Rhee, Shin Hyung</t>
  </si>
  <si>
    <t>Experimental investigation of green water on deck for a CFD validation database</t>
  </si>
  <si>
    <t>Ariyarathne, Kusalika  Chang, Kuang An  Mercier, Richard</t>
  </si>
  <si>
    <t>Green water impact pressure on a three-dimensional model structure</t>
  </si>
  <si>
    <t>Breaking waves</t>
  </si>
  <si>
    <t>Focussing wave technique</t>
  </si>
  <si>
    <t>Liut, Daniel A.  Weems, K. M.  Yen, Tin-Guen</t>
  </si>
  <si>
    <t>A Quasi-three-dimensional Finite-volume Shallow Water Model for Green Water on Deck</t>
  </si>
  <si>
    <t>Breaking-dam</t>
  </si>
  <si>
    <t>Song, Youn Kyung  Chang, Kuang An  Ariyarathne, Kusalika  Mercier, Richard</t>
  </si>
  <si>
    <t>Surface velocity and impact pressure of green water flow on a fixed model structure in a large wave basin</t>
  </si>
  <si>
    <t>Chuang, Wei Liang  Chang, Kuang An  Mercier, Richard</t>
  </si>
  <si>
    <t>Kinematics and dynamics of green water on a fixed platform in a large wave basin in focusing wave and random wave conditions</t>
  </si>
  <si>
    <t>Highspeed camera's</t>
  </si>
  <si>
    <t>Random</t>
  </si>
  <si>
    <t>Lee, Gang Nam  Jung, Kwang Hyo  Malenica, Sime  Chung, Yun Suk  Suh, Sung Bu  Kim, Mun Sung  Choi, Yong Ho</t>
  </si>
  <si>
    <t>Experimental study on flow kinematics and pressure distribution of green water on a rectangular structure</t>
  </si>
  <si>
    <t>https://law.resource.org/pub/us/cfr/ibr/002/api.2int-met.2007.pdf</t>
  </si>
  <si>
    <t>Hernández-Fontes, Jassiel V.  Hernández, Irving D.  Mendoza, Edgar  Silva, Rodolfo</t>
  </si>
  <si>
    <t>Green water evolution on a fixed structure induced by incoming wave trains</t>
  </si>
  <si>
    <t>Hernández-Fontes, J. V.  Torres, L.  Mendoza, E.  Escudero, M.</t>
  </si>
  <si>
    <t>Identification of the advection-diffusion equation for predicting green water propagation</t>
  </si>
</sst>
</file>

<file path=xl/styles.xml><?xml version="1.0" encoding="utf-8"?>
<styleSheet xmlns="http://schemas.openxmlformats.org/spreadsheetml/2006/main">
  <numFmts count="11">
    <numFmt numFmtId="176" formatCode="0.0000_ "/>
    <numFmt numFmtId="177" formatCode="0.0"/>
    <numFmt numFmtId="178" formatCode="0.00_ "/>
    <numFmt numFmtId="179" formatCode="0.0_ "/>
    <numFmt numFmtId="180" formatCode="0.000_ "/>
    <numFmt numFmtId="181" formatCode="0_ "/>
    <numFmt numFmtId="42" formatCode="_-&quot;£&quot;* #,##0_-;\-&quot;£&quot;* #,##0_-;_-&quot;£&quot;* &quot;-&quot;_-;_-@_-"/>
    <numFmt numFmtId="182" formatCode="0.000"/>
    <numFmt numFmtId="41" formatCode="_-* #,##0_-;\-* #,##0_-;_-* &quot;-&quot;_-;_-@_-"/>
    <numFmt numFmtId="44" formatCode="_-&quot;£&quot;* #,##0.00_-;\-&quot;£&quot;* #,##0.00_-;_-&quot;£&quot;* &quot;-&quot;??_-;_-@_-"/>
    <numFmt numFmtId="43" formatCode="_-* #,##0.00_-;\-* #,##0.00_-;_-* &quot;-&quot;??_-;_-@_-"/>
  </numFmts>
  <fonts count="34">
    <font>
      <sz val="11"/>
      <color theme="1"/>
      <name val="Calibri"/>
      <charset val="134"/>
      <scheme val="minor"/>
    </font>
    <font>
      <b/>
      <sz val="11"/>
      <color rgb="FF000000"/>
      <name val="Calibri"/>
      <charset val="1"/>
    </font>
    <font>
      <sz val="11"/>
      <color rgb="FF000000"/>
      <name val="Calibri"/>
      <charset val="1"/>
    </font>
    <font>
      <i/>
      <sz val="11"/>
      <color rgb="FF000000"/>
      <name val="Calibri"/>
      <charset val="1"/>
    </font>
    <font>
      <b/>
      <sz val="11"/>
      <color theme="1"/>
      <name val="Calibri"/>
      <charset val="134"/>
      <scheme val="minor"/>
    </font>
    <font>
      <sz val="11"/>
      <color theme="0"/>
      <name val="Calibri"/>
      <charset val="134"/>
      <scheme val="minor"/>
    </font>
    <font>
      <b/>
      <sz val="11"/>
      <color theme="0"/>
      <name val="Calibri"/>
      <charset val="134"/>
      <scheme val="minor"/>
    </font>
    <font>
      <sz val="9"/>
      <color theme="1"/>
      <name val="Calibri"/>
      <charset val="134"/>
      <scheme val="minor"/>
    </font>
    <font>
      <i/>
      <sz val="11"/>
      <color theme="1"/>
      <name val="Calibri"/>
      <charset val="134"/>
      <scheme val="minor"/>
    </font>
    <font>
      <b/>
      <i/>
      <sz val="11"/>
      <color theme="0"/>
      <name val="Calibri"/>
      <charset val="134"/>
      <scheme val="minor"/>
    </font>
    <font>
      <sz val="11"/>
      <color theme="2" tint="-0.5"/>
      <name val="Calibri"/>
      <charset val="134"/>
      <scheme val="minor"/>
    </font>
    <font>
      <b/>
      <sz val="9"/>
      <color theme="1"/>
      <name val="Calibri"/>
      <charset val="134"/>
      <scheme val="minor"/>
    </font>
    <font>
      <sz val="9"/>
      <color theme="0"/>
      <name val="Calibri"/>
      <charset val="134"/>
      <scheme val="minor"/>
    </font>
    <font>
      <b/>
      <sz val="9"/>
      <color theme="0"/>
      <name val="Calibri"/>
      <charset val="134"/>
      <scheme val="minor"/>
    </font>
    <font>
      <u/>
      <sz val="11"/>
      <color rgb="FF0000FF"/>
      <name val="Calibri"/>
      <charset val="0"/>
      <scheme val="minor"/>
    </font>
    <font>
      <b/>
      <sz val="11"/>
      <color rgb="FFFFFFFF"/>
      <name val="Calibri"/>
      <charset val="0"/>
      <scheme val="minor"/>
    </font>
    <font>
      <b/>
      <sz val="13"/>
      <color theme="3"/>
      <name val="Calibri"/>
      <charset val="134"/>
      <scheme val="minor"/>
    </font>
    <font>
      <i/>
      <sz val="11"/>
      <color rgb="FF7F7F7F"/>
      <name val="Calibri"/>
      <charset val="0"/>
      <scheme val="minor"/>
    </font>
    <font>
      <sz val="11"/>
      <color theme="1"/>
      <name val="Calibri"/>
      <charset val="0"/>
      <scheme val="minor"/>
    </font>
    <font>
      <sz val="11"/>
      <color theme="0"/>
      <name val="Calibri"/>
      <charset val="0"/>
      <scheme val="minor"/>
    </font>
    <font>
      <b/>
      <sz val="11"/>
      <color theme="3"/>
      <name val="Calibri"/>
      <charset val="134"/>
      <scheme val="minor"/>
    </font>
    <font>
      <b/>
      <sz val="15"/>
      <color theme="3"/>
      <name val="Calibri"/>
      <charset val="134"/>
      <scheme val="minor"/>
    </font>
    <font>
      <sz val="11"/>
      <color rgb="FF006100"/>
      <name val="Calibri"/>
      <charset val="0"/>
      <scheme val="minor"/>
    </font>
    <font>
      <sz val="11"/>
      <color rgb="FFFF0000"/>
      <name val="Calibri"/>
      <charset val="0"/>
      <scheme val="minor"/>
    </font>
    <font>
      <b/>
      <sz val="11"/>
      <color rgb="FFFA7D00"/>
      <name val="Calibri"/>
      <charset val="0"/>
      <scheme val="minor"/>
    </font>
    <font>
      <sz val="11"/>
      <color rgb="FF3F3F76"/>
      <name val="Calibri"/>
      <charset val="0"/>
      <scheme val="minor"/>
    </font>
    <font>
      <b/>
      <sz val="11"/>
      <color theme="1"/>
      <name val="Calibri"/>
      <charset val="0"/>
      <scheme val="minor"/>
    </font>
    <font>
      <sz val="11"/>
      <color rgb="FF9C0006"/>
      <name val="Calibri"/>
      <charset val="0"/>
      <scheme val="minor"/>
    </font>
    <font>
      <sz val="11"/>
      <color rgb="FF9C6500"/>
      <name val="Calibri"/>
      <charset val="0"/>
      <scheme val="minor"/>
    </font>
    <font>
      <sz val="11"/>
      <color rgb="FFFA7D00"/>
      <name val="Calibri"/>
      <charset val="0"/>
      <scheme val="minor"/>
    </font>
    <font>
      <u/>
      <sz val="11"/>
      <color rgb="FF800080"/>
      <name val="Calibri"/>
      <charset val="0"/>
      <scheme val="minor"/>
    </font>
    <font>
      <b/>
      <sz val="18"/>
      <color theme="3"/>
      <name val="Calibri"/>
      <charset val="134"/>
      <scheme val="minor"/>
    </font>
    <font>
      <b/>
      <sz val="11"/>
      <color rgb="FF3F3F3F"/>
      <name val="Calibri"/>
      <charset val="0"/>
      <scheme val="minor"/>
    </font>
    <font>
      <sz val="11"/>
      <color rgb="FF3F3F76"/>
      <name val="Calibri"/>
      <charset val="1"/>
    </font>
  </fonts>
  <fills count="44">
    <fill>
      <patternFill patternType="none"/>
    </fill>
    <fill>
      <patternFill patternType="gray125"/>
    </fill>
    <fill>
      <patternFill patternType="solid">
        <fgColor rgb="FFC5E0B4"/>
        <bgColor rgb="FFD9D9D9"/>
      </patternFill>
    </fill>
    <fill>
      <patternFill patternType="solid">
        <fgColor rgb="FFE2F0D9"/>
        <bgColor rgb="FFDEE7E5"/>
      </patternFill>
    </fill>
    <fill>
      <patternFill patternType="solid">
        <fgColor rgb="FFBDD7EE"/>
        <bgColor rgb="FFB2C7DC"/>
      </patternFill>
    </fill>
    <fill>
      <patternFill patternType="solid">
        <fgColor rgb="FFDEEBF7"/>
        <bgColor rgb="FFDEE6EF"/>
      </patternFill>
    </fill>
    <fill>
      <patternFill patternType="solid">
        <fgColor rgb="FFF8CBAD"/>
        <bgColor rgb="FFFFCC99"/>
      </patternFill>
    </fill>
    <fill>
      <patternFill patternType="solid">
        <fgColor rgb="FFFBE5D6"/>
        <bgColor rgb="FFFFD8CE"/>
      </patternFill>
    </fill>
    <fill>
      <patternFill patternType="solid">
        <fgColor theme="2" tint="-0.25"/>
        <bgColor rgb="FFFFCC99"/>
      </patternFill>
    </fill>
    <fill>
      <patternFill patternType="solid">
        <fgColor theme="2" tint="-0.1"/>
        <bgColor rgb="FFFFD8CE"/>
      </patternFill>
    </fill>
    <fill>
      <patternFill patternType="solid">
        <fgColor theme="1" tint="0.5"/>
        <bgColor indexed="64"/>
      </patternFill>
    </fill>
    <fill>
      <patternFill patternType="solid">
        <fgColor theme="0" tint="-0.05"/>
        <bgColor indexed="64"/>
      </patternFill>
    </fill>
    <fill>
      <patternFill patternType="solid">
        <fgColor rgb="FFA5A5A5"/>
        <bgColor indexed="64"/>
      </patternFill>
    </fill>
    <fill>
      <patternFill patternType="solid">
        <fgColor theme="6" tint="0.599993896298105"/>
        <bgColor indexed="64"/>
      </patternFill>
    </fill>
    <fill>
      <patternFill patternType="solid">
        <fgColor theme="4" tint="0.399975585192419"/>
        <bgColor indexed="64"/>
      </patternFill>
    </fill>
    <fill>
      <patternFill patternType="solid">
        <fgColor theme="5" tint="0.399975585192419"/>
        <bgColor indexed="64"/>
      </patternFill>
    </fill>
    <fill>
      <patternFill patternType="solid">
        <fgColor rgb="FFC6EFCE"/>
        <bgColor indexed="64"/>
      </patternFill>
    </fill>
    <fill>
      <patternFill patternType="solid">
        <fgColor rgb="FFF2F2F2"/>
        <bgColor indexed="64"/>
      </patternFill>
    </fill>
    <fill>
      <patternFill patternType="solid">
        <fgColor theme="6" tint="0.799981688894314"/>
        <bgColor indexed="64"/>
      </patternFill>
    </fill>
    <fill>
      <patternFill patternType="solid">
        <fgColor rgb="FFFFCC99"/>
        <bgColor indexed="64"/>
      </patternFill>
    </fill>
    <fill>
      <patternFill patternType="solid">
        <fgColor theme="7" tint="0.799981688894314"/>
        <bgColor indexed="64"/>
      </patternFill>
    </fill>
    <fill>
      <patternFill patternType="solid">
        <fgColor rgb="FFFFFFCC"/>
        <bgColor indexed="64"/>
      </patternFill>
    </fill>
    <fill>
      <patternFill patternType="solid">
        <fgColor rgb="FFFFC7CE"/>
        <bgColor indexed="64"/>
      </patternFill>
    </fill>
    <fill>
      <patternFill patternType="solid">
        <fgColor rgb="FFFFEB9C"/>
        <bgColor indexed="64"/>
      </patternFill>
    </fill>
    <fill>
      <patternFill patternType="solid">
        <fgColor theme="6" tint="0.399975585192419"/>
        <bgColor indexed="64"/>
      </patternFill>
    </fill>
    <fill>
      <patternFill patternType="solid">
        <fgColor theme="5" tint="0.799981688894314"/>
        <bgColor indexed="64"/>
      </patternFill>
    </fill>
    <fill>
      <patternFill patternType="solid">
        <fgColor theme="4"/>
        <bgColor indexed="64"/>
      </patternFill>
    </fill>
    <fill>
      <patternFill patternType="solid">
        <fgColor theme="7"/>
        <bgColor indexed="64"/>
      </patternFill>
    </fill>
    <fill>
      <patternFill patternType="solid">
        <fgColor theme="7" tint="0.599993896298105"/>
        <bgColor indexed="64"/>
      </patternFill>
    </fill>
    <fill>
      <patternFill patternType="solid">
        <fgColor theme="4" tint="0.599993896298105"/>
        <bgColor indexed="64"/>
      </patternFill>
    </fill>
    <fill>
      <patternFill patternType="solid">
        <fgColor theme="6"/>
        <bgColor indexed="64"/>
      </patternFill>
    </fill>
    <fill>
      <patternFill patternType="solid">
        <fgColor theme="7" tint="0.399975585192419"/>
        <bgColor indexed="64"/>
      </patternFill>
    </fill>
    <fill>
      <patternFill patternType="solid">
        <fgColor theme="8" tint="0.799981688894314"/>
        <bgColor indexed="64"/>
      </patternFill>
    </fill>
    <fill>
      <patternFill patternType="solid">
        <fgColor theme="9" tint="0.799981688894314"/>
        <bgColor indexed="64"/>
      </patternFill>
    </fill>
    <fill>
      <patternFill patternType="solid">
        <fgColor theme="8" tint="0.599993896298105"/>
        <bgColor indexed="64"/>
      </patternFill>
    </fill>
    <fill>
      <patternFill patternType="solid">
        <fgColor theme="5" tint="0.599993896298105"/>
        <bgColor indexed="64"/>
      </patternFill>
    </fill>
    <fill>
      <patternFill patternType="solid">
        <fgColor theme="8"/>
        <bgColor indexed="64"/>
      </patternFill>
    </fill>
    <fill>
      <patternFill patternType="solid">
        <fgColor theme="5"/>
        <bgColor indexed="64"/>
      </patternFill>
    </fill>
    <fill>
      <patternFill patternType="solid">
        <fgColor theme="9" tint="0.399975585192419"/>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rgb="FFFFCC99"/>
        <bgColor rgb="FFFFD087"/>
      </patternFill>
    </fill>
    <fill>
      <patternFill patternType="solid">
        <fgColor theme="4" tint="0.799981688894314"/>
        <bgColor indexed="64"/>
      </patternFill>
    </fill>
  </fills>
  <borders count="11">
    <border>
      <left/>
      <right/>
      <top/>
      <bottom/>
      <diagonal/>
    </border>
    <border>
      <left/>
      <right style="thin">
        <color auto="true"/>
      </right>
      <top/>
      <bottom/>
      <diagonal/>
    </border>
    <border>
      <left style="thin">
        <color auto="true"/>
      </left>
      <right/>
      <top/>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style="thin">
        <color rgb="FF3F3F3F"/>
      </left>
      <right style="thin">
        <color rgb="FF3F3F3F"/>
      </right>
      <top style="thin">
        <color rgb="FF3F3F3F"/>
      </top>
      <bottom style="thin">
        <color rgb="FF3F3F3F"/>
      </bottom>
      <diagonal/>
    </border>
  </borders>
  <cellStyleXfs count="50">
    <xf numFmtId="0" fontId="0" fillId="0" borderId="0">
      <alignment vertical="center"/>
    </xf>
    <xf numFmtId="0" fontId="33" fillId="42" borderId="6" applyProtection="false"/>
    <xf numFmtId="0" fontId="19" fillId="38" borderId="0" applyNumberFormat="false" applyBorder="false" applyAlignment="false" applyProtection="false">
      <alignment vertical="center"/>
    </xf>
    <xf numFmtId="0" fontId="18" fillId="41" borderId="0" applyNumberFormat="false" applyBorder="false" applyAlignment="false" applyProtection="false">
      <alignment vertical="center"/>
    </xf>
    <xf numFmtId="0" fontId="19" fillId="39" borderId="0" applyNumberFormat="false" applyBorder="false" applyAlignment="false" applyProtection="false">
      <alignment vertical="center"/>
    </xf>
    <xf numFmtId="0" fontId="19" fillId="40" borderId="0" applyNumberFormat="false" applyBorder="false" applyAlignment="false" applyProtection="false">
      <alignment vertical="center"/>
    </xf>
    <xf numFmtId="0" fontId="18" fillId="34" borderId="0" applyNumberFormat="false" applyBorder="false" applyAlignment="false" applyProtection="false">
      <alignment vertical="center"/>
    </xf>
    <xf numFmtId="0" fontId="18" fillId="32" borderId="0" applyNumberFormat="false" applyBorder="false" applyAlignment="false" applyProtection="false">
      <alignment vertical="center"/>
    </xf>
    <xf numFmtId="0" fontId="19" fillId="31" borderId="0" applyNumberFormat="false" applyBorder="false" applyAlignment="false" applyProtection="false">
      <alignment vertical="center"/>
    </xf>
    <xf numFmtId="0" fontId="19" fillId="36" borderId="0" applyNumberFormat="false" applyBorder="false" applyAlignment="false" applyProtection="false">
      <alignment vertical="center"/>
    </xf>
    <xf numFmtId="0" fontId="18" fillId="28" borderId="0" applyNumberFormat="false" applyBorder="false" applyAlignment="false" applyProtection="false">
      <alignment vertical="center"/>
    </xf>
    <xf numFmtId="0" fontId="19" fillId="27" borderId="0" applyNumberFormat="false" applyBorder="false" applyAlignment="false" applyProtection="false">
      <alignment vertical="center"/>
    </xf>
    <xf numFmtId="0" fontId="29" fillId="0" borderId="9" applyNumberFormat="false" applyFill="false" applyAlignment="false" applyProtection="false">
      <alignment vertical="center"/>
    </xf>
    <xf numFmtId="0" fontId="18" fillId="13" borderId="0" applyNumberFormat="false" applyBorder="false" applyAlignment="false" applyProtection="false">
      <alignment vertical="center"/>
    </xf>
    <xf numFmtId="0" fontId="19" fillId="15" borderId="0" applyNumberFormat="false" applyBorder="false" applyAlignment="false" applyProtection="false">
      <alignment vertical="center"/>
    </xf>
    <xf numFmtId="0" fontId="19" fillId="30" borderId="0" applyNumberFormat="false" applyBorder="false" applyAlignment="false" applyProtection="false">
      <alignment vertical="center"/>
    </xf>
    <xf numFmtId="0" fontId="18" fillId="35" borderId="0" applyNumberFormat="false" applyBorder="false" applyAlignment="false" applyProtection="false">
      <alignment vertical="center"/>
    </xf>
    <xf numFmtId="0" fontId="18" fillId="25" borderId="0" applyNumberFormat="false" applyBorder="false" applyAlignment="false" applyProtection="false">
      <alignment vertical="center"/>
    </xf>
    <xf numFmtId="0" fontId="19" fillId="37" borderId="0" applyNumberFormat="false" applyBorder="false" applyAlignment="false" applyProtection="false">
      <alignment vertical="center"/>
    </xf>
    <xf numFmtId="0" fontId="18" fillId="29" borderId="0" applyNumberFormat="false" applyBorder="false" applyAlignment="false" applyProtection="false">
      <alignment vertical="center"/>
    </xf>
    <xf numFmtId="0" fontId="18" fillId="43" borderId="0" applyNumberFormat="false" applyBorder="false" applyAlignment="false" applyProtection="false">
      <alignment vertical="center"/>
    </xf>
    <xf numFmtId="0" fontId="19" fillId="26" borderId="0" applyNumberFormat="false" applyBorder="false" applyAlignment="false" applyProtection="false">
      <alignment vertical="center"/>
    </xf>
    <xf numFmtId="0" fontId="28" fillId="23" borderId="0" applyNumberFormat="false" applyBorder="false" applyAlignment="false" applyProtection="false">
      <alignment vertical="center"/>
    </xf>
    <xf numFmtId="0" fontId="19" fillId="14" borderId="0" applyNumberFormat="false" applyBorder="false" applyAlignment="false" applyProtection="false">
      <alignment vertical="center"/>
    </xf>
    <xf numFmtId="0" fontId="27" fillId="22" borderId="0" applyNumberFormat="false" applyBorder="false" applyAlignment="false" applyProtection="false">
      <alignment vertical="center"/>
    </xf>
    <xf numFmtId="0" fontId="18" fillId="20" borderId="0" applyNumberFormat="false" applyBorder="false" applyAlignment="false" applyProtection="false">
      <alignment vertical="center"/>
    </xf>
    <xf numFmtId="0" fontId="26" fillId="0" borderId="7" applyNumberFormat="false" applyFill="false" applyAlignment="false" applyProtection="false">
      <alignment vertical="center"/>
    </xf>
    <xf numFmtId="0" fontId="32" fillId="17" borderId="10" applyNumberFormat="false" applyAlignment="false" applyProtection="false">
      <alignment vertical="center"/>
    </xf>
    <xf numFmtId="44" fontId="0" fillId="0" borderId="0" applyFont="false" applyFill="false" applyBorder="false" applyAlignment="false" applyProtection="false">
      <alignment vertical="center"/>
    </xf>
    <xf numFmtId="0" fontId="18" fillId="18" borderId="0" applyNumberFormat="false" applyBorder="false" applyAlignment="false" applyProtection="false">
      <alignment vertical="center"/>
    </xf>
    <xf numFmtId="0" fontId="0" fillId="21" borderId="8" applyNumberFormat="false" applyFont="false" applyAlignment="false" applyProtection="false">
      <alignment vertical="center"/>
    </xf>
    <xf numFmtId="0" fontId="25" fillId="19" borderId="6" applyNumberFormat="false" applyAlignment="false" applyProtection="false">
      <alignment vertical="center"/>
    </xf>
    <xf numFmtId="0" fontId="20" fillId="0" borderId="0" applyNumberFormat="false" applyFill="false" applyBorder="false" applyAlignment="false" applyProtection="false">
      <alignment vertical="center"/>
    </xf>
    <xf numFmtId="0" fontId="24" fillId="17" borderId="6" applyNumberFormat="false" applyAlignment="false" applyProtection="false">
      <alignment vertical="center"/>
    </xf>
    <xf numFmtId="0" fontId="22" fillId="16" borderId="0" applyNumberFormat="false" applyBorder="false" applyAlignment="false" applyProtection="false">
      <alignment vertical="center"/>
    </xf>
    <xf numFmtId="0" fontId="20" fillId="0" borderId="5" applyNumberFormat="false" applyFill="false" applyAlignment="false" applyProtection="false">
      <alignment vertical="center"/>
    </xf>
    <xf numFmtId="0" fontId="17" fillId="0" borderId="0" applyNumberFormat="false" applyFill="false" applyBorder="false" applyAlignment="false" applyProtection="false">
      <alignment vertical="center"/>
    </xf>
    <xf numFmtId="0" fontId="21" fillId="0" borderId="4" applyNumberFormat="false" applyFill="false" applyAlignment="false" applyProtection="false">
      <alignment vertical="center"/>
    </xf>
    <xf numFmtId="41" fontId="0" fillId="0" borderId="0" applyFont="false" applyFill="false" applyBorder="false" applyAlignment="false" applyProtection="false">
      <alignment vertical="center"/>
    </xf>
    <xf numFmtId="0" fontId="18" fillId="33" borderId="0" applyNumberFormat="false" applyBorder="false" applyAlignment="false" applyProtection="false">
      <alignment vertical="center"/>
    </xf>
    <xf numFmtId="0" fontId="31" fillId="0" borderId="0" applyNumberFormat="false" applyFill="false" applyBorder="false" applyAlignment="false" applyProtection="false">
      <alignment vertical="center"/>
    </xf>
    <xf numFmtId="42" fontId="0" fillId="0" borderId="0" applyFont="false" applyFill="false" applyBorder="false" applyAlignment="false" applyProtection="false">
      <alignment vertical="center"/>
    </xf>
    <xf numFmtId="0" fontId="23" fillId="0" borderId="0" applyNumberFormat="false" applyFill="false" applyBorder="false" applyAlignment="false" applyProtection="false">
      <alignment vertical="center"/>
    </xf>
    <xf numFmtId="0" fontId="30" fillId="0" borderId="0" applyNumberFormat="false" applyFill="false" applyBorder="false" applyAlignment="false" applyProtection="false">
      <alignment vertical="center"/>
    </xf>
    <xf numFmtId="0" fontId="16" fillId="0" borderId="4" applyNumberFormat="false" applyFill="false" applyAlignment="false" applyProtection="false">
      <alignment vertical="center"/>
    </xf>
    <xf numFmtId="43" fontId="0" fillId="0" borderId="0" applyFont="false" applyFill="false" applyBorder="false" applyAlignment="false" applyProtection="false">
      <alignment vertical="center"/>
    </xf>
    <xf numFmtId="0" fontId="15" fillId="12" borderId="3" applyNumberFormat="false" applyAlignment="false" applyProtection="false">
      <alignment vertical="center"/>
    </xf>
    <xf numFmtId="0" fontId="19" fillId="24" borderId="0" applyNumberFormat="false" applyBorder="false" applyAlignment="false" applyProtection="false">
      <alignment vertical="center"/>
    </xf>
    <xf numFmtId="9" fontId="0" fillId="0" borderId="0" applyFont="false" applyFill="false" applyBorder="false" applyAlignment="false" applyProtection="false">
      <alignment vertical="center"/>
    </xf>
    <xf numFmtId="0" fontId="14" fillId="0" borderId="0" applyNumberFormat="false" applyFill="false" applyBorder="false" applyAlignment="false" applyProtection="false">
      <alignment vertical="center"/>
    </xf>
  </cellStyleXfs>
  <cellXfs count="87">
    <xf numFmtId="0" fontId="0" fillId="0" borderId="0" xfId="0">
      <alignment vertical="center"/>
    </xf>
    <xf numFmtId="0" fontId="1" fillId="2" borderId="0" xfId="0" applyFont="true" applyFill="true" applyAlignment="true"/>
    <xf numFmtId="0" fontId="2" fillId="0" borderId="0" xfId="0" applyFont="true" applyFill="true" applyAlignment="true"/>
    <xf numFmtId="0" fontId="2" fillId="3" borderId="0" xfId="0" applyFont="true" applyFill="true" applyAlignment="true">
      <alignment horizontal="right"/>
    </xf>
    <xf numFmtId="0" fontId="2" fillId="2" borderId="0" xfId="0" applyFont="true" applyFill="true" applyAlignment="true"/>
    <xf numFmtId="0" fontId="3" fillId="3" borderId="0" xfId="0" applyFont="true" applyFill="true" applyAlignment="true"/>
    <xf numFmtId="0" fontId="1" fillId="4" borderId="0" xfId="0" applyFont="true" applyFill="true" applyAlignment="true"/>
    <xf numFmtId="0" fontId="3" fillId="0" borderId="0" xfId="0" applyFont="true" applyFill="true" applyAlignment="true"/>
    <xf numFmtId="0" fontId="2" fillId="5" borderId="0" xfId="0" applyFont="true" applyFill="true" applyAlignment="true">
      <alignment horizontal="right"/>
    </xf>
    <xf numFmtId="0" fontId="2" fillId="4" borderId="0" xfId="0" applyFont="true" applyFill="true" applyAlignment="true"/>
    <xf numFmtId="0" fontId="3" fillId="5" borderId="0" xfId="0" applyFont="true" applyFill="true" applyAlignment="true"/>
    <xf numFmtId="2" fontId="2" fillId="4" borderId="0" xfId="0" applyNumberFormat="true" applyFont="true" applyFill="true" applyAlignment="true"/>
    <xf numFmtId="0" fontId="1" fillId="6" borderId="0" xfId="0" applyFont="true" applyFill="true" applyAlignment="true"/>
    <xf numFmtId="0" fontId="2" fillId="7" borderId="0" xfId="0" applyFont="true" applyFill="true" applyAlignment="true">
      <alignment horizontal="right"/>
    </xf>
    <xf numFmtId="182" fontId="2" fillId="6" borderId="0" xfId="0" applyNumberFormat="true" applyFont="true" applyFill="true" applyAlignment="true"/>
    <xf numFmtId="0" fontId="3" fillId="7" borderId="0" xfId="0" applyFont="true" applyFill="true" applyAlignment="true"/>
    <xf numFmtId="2" fontId="2" fillId="6" borderId="0" xfId="0" applyNumberFormat="true" applyFont="true" applyFill="true" applyAlignment="true"/>
    <xf numFmtId="0" fontId="1" fillId="8" borderId="0" xfId="0" applyFont="true" applyFill="true" applyAlignment="true"/>
    <xf numFmtId="0" fontId="2" fillId="9" borderId="0" xfId="0" applyFont="true" applyFill="true" applyAlignment="true">
      <alignment horizontal="right"/>
    </xf>
    <xf numFmtId="2" fontId="2" fillId="8" borderId="0" xfId="0" applyNumberFormat="true" applyFont="true" applyFill="true" applyAlignment="true"/>
    <xf numFmtId="0" fontId="3" fillId="9" borderId="0" xfId="0" applyFont="true" applyFill="true" applyAlignment="true"/>
    <xf numFmtId="180" fontId="2" fillId="4" borderId="0" xfId="0" applyNumberFormat="true" applyFont="true" applyFill="true" applyAlignment="true"/>
    <xf numFmtId="179" fontId="2" fillId="4" borderId="0" xfId="0" applyNumberFormat="true" applyFont="true" applyFill="true" applyAlignment="true"/>
    <xf numFmtId="179" fontId="0" fillId="0" borderId="0" xfId="0" applyNumberFormat="true">
      <alignment vertical="center"/>
    </xf>
    <xf numFmtId="178" fontId="2" fillId="4" borderId="0" xfId="0" applyNumberFormat="true" applyFont="true" applyFill="true" applyAlignment="true"/>
    <xf numFmtId="180" fontId="2" fillId="2" borderId="0" xfId="0" applyNumberFormat="true" applyFont="true" applyFill="true" applyAlignment="true"/>
    <xf numFmtId="177" fontId="2" fillId="6" borderId="0" xfId="0" applyNumberFormat="true" applyFont="true" applyFill="true" applyAlignment="true"/>
    <xf numFmtId="176" fontId="2" fillId="2" borderId="0" xfId="0" applyNumberFormat="true" applyFont="true" applyFill="true" applyAlignment="true"/>
    <xf numFmtId="178" fontId="2" fillId="2" borderId="0" xfId="0" applyNumberFormat="true" applyFont="true" applyFill="true" applyAlignment="true"/>
    <xf numFmtId="0" fontId="4" fillId="0" borderId="0" xfId="0" applyFont="true" applyAlignment="true">
      <alignment vertical="center" wrapText="true"/>
    </xf>
    <xf numFmtId="0" fontId="5" fillId="10" borderId="0" xfId="0" applyFont="true" applyFill="true">
      <alignment vertical="center"/>
    </xf>
    <xf numFmtId="0" fontId="0" fillId="11" borderId="0" xfId="0" applyFill="true">
      <alignment vertical="center"/>
    </xf>
    <xf numFmtId="0" fontId="0" fillId="0" borderId="0" xfId="0" applyFill="true">
      <alignment vertical="center"/>
    </xf>
    <xf numFmtId="0" fontId="6" fillId="10" borderId="0" xfId="0" applyFont="true" applyFill="true" applyAlignment="true">
      <alignment vertical="center" wrapText="true"/>
    </xf>
    <xf numFmtId="0" fontId="4" fillId="0" borderId="0" xfId="0" applyFont="true">
      <alignment vertical="center"/>
    </xf>
    <xf numFmtId="0" fontId="0" fillId="0" borderId="1" xfId="0" applyBorder="true">
      <alignment vertical="center"/>
    </xf>
    <xf numFmtId="0" fontId="7" fillId="0" borderId="0" xfId="0" applyFont="true" applyAlignment="true">
      <alignment horizontal="left" vertical="center" wrapText="true"/>
    </xf>
    <xf numFmtId="0" fontId="4" fillId="0" borderId="1" xfId="0" applyFont="true" applyBorder="true" applyAlignment="true">
      <alignment vertical="center" wrapText="true"/>
    </xf>
    <xf numFmtId="0" fontId="4" fillId="0" borderId="0" xfId="0" applyFont="true" applyAlignment="true">
      <alignment horizontal="center" vertical="center" wrapText="true"/>
    </xf>
    <xf numFmtId="0" fontId="4" fillId="0" borderId="2" xfId="0" applyFont="true" applyBorder="true" applyAlignment="true">
      <alignment horizontal="center" vertical="center" wrapText="true"/>
    </xf>
    <xf numFmtId="0" fontId="5" fillId="10" borderId="1" xfId="0" applyFont="true" applyFill="true" applyBorder="true">
      <alignment vertical="center"/>
    </xf>
    <xf numFmtId="0" fontId="5" fillId="10" borderId="0" xfId="0" applyFont="true" applyFill="true" applyAlignment="true">
      <alignment horizontal="center" vertical="center"/>
    </xf>
    <xf numFmtId="0" fontId="5" fillId="10" borderId="2" xfId="0" applyFont="true" applyFill="true" applyBorder="true" applyAlignment="true">
      <alignment horizontal="center" vertical="center"/>
    </xf>
    <xf numFmtId="0" fontId="8" fillId="0" borderId="1" xfId="0" applyFont="true" applyBorder="true" applyAlignment="true">
      <alignment horizontal="right" vertical="center"/>
    </xf>
    <xf numFmtId="0" fontId="0" fillId="0" borderId="0" xfId="0" applyAlignment="true">
      <alignment horizontal="center" vertical="center"/>
    </xf>
    <xf numFmtId="0" fontId="8" fillId="11" borderId="1" xfId="0" applyFont="true" applyFill="true" applyBorder="true" applyAlignment="true">
      <alignment horizontal="right" vertical="center"/>
    </xf>
    <xf numFmtId="0" fontId="0" fillId="11" borderId="0" xfId="0" applyFill="true" applyAlignment="true">
      <alignment horizontal="center" vertical="center"/>
    </xf>
    <xf numFmtId="0" fontId="8" fillId="0" borderId="1" xfId="0" applyFont="true" applyFill="true" applyBorder="true" applyAlignment="true">
      <alignment horizontal="right" vertical="center"/>
    </xf>
    <xf numFmtId="0" fontId="9" fillId="10" borderId="1" xfId="0" applyFont="true" applyFill="true" applyBorder="true" applyAlignment="true">
      <alignment horizontal="right" vertical="center" wrapText="true"/>
    </xf>
    <xf numFmtId="0" fontId="6" fillId="10" borderId="0" xfId="0" applyFont="true" applyFill="true" applyAlignment="true">
      <alignment horizontal="center" vertical="center" wrapText="true"/>
    </xf>
    <xf numFmtId="0" fontId="6" fillId="10" borderId="0" xfId="0" applyFont="true" applyFill="true" applyAlignment="true">
      <alignment horizontal="center" vertical="center" wrapText="true"/>
    </xf>
    <xf numFmtId="0" fontId="4" fillId="0" borderId="1" xfId="0" applyFont="true" applyBorder="true">
      <alignment vertical="center"/>
    </xf>
    <xf numFmtId="0" fontId="0" fillId="0" borderId="0" xfId="0" applyFont="true" applyAlignment="true">
      <alignment horizontal="right" vertical="center"/>
    </xf>
    <xf numFmtId="0" fontId="0" fillId="0" borderId="0" xfId="0" applyFont="true" applyAlignment="true">
      <alignment horizontal="center" vertical="center"/>
    </xf>
    <xf numFmtId="0" fontId="0" fillId="0" borderId="0" xfId="0" applyFont="true" applyAlignment="true">
      <alignment horizontal="center" vertical="center"/>
    </xf>
    <xf numFmtId="0" fontId="4" fillId="0" borderId="0" xfId="0" applyFont="true" applyAlignment="true">
      <alignment horizontal="center" vertical="center"/>
    </xf>
    <xf numFmtId="0" fontId="0" fillId="0" borderId="0" xfId="0" applyAlignment="true">
      <alignment horizontal="center" vertical="center"/>
    </xf>
    <xf numFmtId="0" fontId="0" fillId="0" borderId="1" xfId="0" applyBorder="true" applyAlignment="true">
      <alignment horizontal="right" vertical="center"/>
    </xf>
    <xf numFmtId="0" fontId="4" fillId="0" borderId="1" xfId="0" applyFont="true" applyBorder="true" applyAlignment="true">
      <alignment horizontal="center" vertical="center" wrapText="true"/>
    </xf>
    <xf numFmtId="0" fontId="5" fillId="10" borderId="2" xfId="0" applyFont="true" applyFill="true" applyBorder="true" applyAlignment="true">
      <alignment horizontal="center" vertical="center"/>
    </xf>
    <xf numFmtId="0" fontId="5" fillId="10" borderId="0" xfId="0" applyFont="true" applyFill="true" applyAlignment="true">
      <alignment horizontal="center" vertical="center"/>
    </xf>
    <xf numFmtId="0" fontId="5" fillId="10" borderId="1" xfId="0" applyFont="true" applyFill="true" applyBorder="true">
      <alignment vertical="center"/>
    </xf>
    <xf numFmtId="178" fontId="0" fillId="0" borderId="0" xfId="0" applyNumberFormat="true" applyAlignment="true">
      <alignment horizontal="center" vertical="center"/>
    </xf>
    <xf numFmtId="178" fontId="0" fillId="11" borderId="0" xfId="0" applyNumberFormat="true" applyFill="true" applyAlignment="true">
      <alignment horizontal="center" vertical="center"/>
    </xf>
    <xf numFmtId="9" fontId="0" fillId="0" borderId="0" xfId="48" applyFont="true" applyAlignment="true">
      <alignment horizontal="left" vertical="center"/>
    </xf>
    <xf numFmtId="181" fontId="0" fillId="0" borderId="0" xfId="0" applyNumberFormat="true" applyFont="true" applyAlignment="true">
      <alignment horizontal="right" vertical="center"/>
    </xf>
    <xf numFmtId="178" fontId="0" fillId="0" borderId="0" xfId="0" applyNumberFormat="true" applyFont="true" applyAlignment="true">
      <alignment horizontal="center" vertical="center"/>
    </xf>
    <xf numFmtId="0" fontId="0" fillId="0" borderId="0" xfId="0" applyFont="true" applyAlignment="true">
      <alignment horizontal="left" vertical="center"/>
    </xf>
    <xf numFmtId="0" fontId="10" fillId="0" borderId="0" xfId="0" applyFont="true" applyAlignment="true">
      <alignment horizontal="right" vertical="center"/>
    </xf>
    <xf numFmtId="0" fontId="10" fillId="0" borderId="0" xfId="0" applyFont="true" applyAlignment="true">
      <alignment horizontal="center" vertical="center"/>
    </xf>
    <xf numFmtId="9" fontId="10" fillId="0" borderId="0" xfId="48" applyFont="true" applyAlignment="true">
      <alignment horizontal="left" vertical="center"/>
    </xf>
    <xf numFmtId="0" fontId="11" fillId="0" borderId="0" xfId="0" applyFont="true" applyAlignment="true">
      <alignment horizontal="left" vertical="center" wrapText="true"/>
    </xf>
    <xf numFmtId="0" fontId="5" fillId="10" borderId="1" xfId="0" applyFont="true" applyFill="true" applyBorder="true" applyAlignment="true">
      <alignment horizontal="center" vertical="center"/>
    </xf>
    <xf numFmtId="0" fontId="12" fillId="10" borderId="0" xfId="0" applyFont="true" applyFill="true" applyAlignment="true">
      <alignment horizontal="left" vertical="center" wrapText="true"/>
    </xf>
    <xf numFmtId="180" fontId="0" fillId="0" borderId="0" xfId="0" applyNumberFormat="true" applyAlignment="true">
      <alignment horizontal="center" vertical="center"/>
    </xf>
    <xf numFmtId="181" fontId="0" fillId="0" borderId="0" xfId="0" applyNumberFormat="true" applyAlignment="true">
      <alignment horizontal="center" vertical="center"/>
    </xf>
    <xf numFmtId="181" fontId="7" fillId="0" borderId="0" xfId="0" applyNumberFormat="true" applyFont="true" applyAlignment="true">
      <alignment horizontal="left" vertical="center" wrapText="true"/>
    </xf>
    <xf numFmtId="180" fontId="0" fillId="11" borderId="0" xfId="0" applyNumberFormat="true" applyFill="true" applyAlignment="true">
      <alignment horizontal="center" vertical="center"/>
    </xf>
    <xf numFmtId="181" fontId="0" fillId="11" borderId="0" xfId="0" applyNumberFormat="true" applyFill="true" applyAlignment="true">
      <alignment horizontal="center" vertical="center"/>
    </xf>
    <xf numFmtId="181" fontId="7" fillId="11" borderId="0" xfId="0" applyNumberFormat="true" applyFont="true" applyFill="true" applyAlignment="true">
      <alignment horizontal="left" vertical="center" wrapText="true"/>
    </xf>
    <xf numFmtId="0" fontId="7" fillId="0" borderId="0" xfId="0" applyFont="true" applyFill="true" applyAlignment="true">
      <alignment horizontal="left" vertical="center" wrapText="true"/>
    </xf>
    <xf numFmtId="0" fontId="13" fillId="10" borderId="0" xfId="0" applyFont="true" applyFill="true" applyAlignment="true">
      <alignment horizontal="center" vertical="center" wrapText="true"/>
    </xf>
    <xf numFmtId="178" fontId="0" fillId="0" borderId="0" xfId="0" applyNumberFormat="true" applyFont="true" applyAlignment="true">
      <alignment horizontal="center" vertical="center"/>
    </xf>
    <xf numFmtId="181" fontId="0" fillId="0" borderId="0" xfId="0" applyNumberFormat="true" applyFont="true" applyAlignment="true">
      <alignment horizontal="center" vertical="center"/>
    </xf>
    <xf numFmtId="0" fontId="7" fillId="0" borderId="0" xfId="0" applyFont="true" applyAlignment="true">
      <alignment horizontal="right" vertical="center" wrapText="true"/>
    </xf>
    <xf numFmtId="0" fontId="11" fillId="0" borderId="0" xfId="0" applyFont="true" applyAlignment="true">
      <alignment horizontal="center" vertical="center" wrapText="true"/>
    </xf>
    <xf numFmtId="0" fontId="7" fillId="0" borderId="0" xfId="0" applyFont="true" applyAlignment="true">
      <alignment horizontal="center" vertical="center" wrapText="true"/>
    </xf>
  </cellXfs>
  <cellStyles count="50">
    <cellStyle name="Normal" xfId="0" builtinId="0"/>
    <cellStyle name="Excel Built-in Input" xfId="1"/>
    <cellStyle name="60% - Accent6" xfId="2" builtinId="52"/>
    <cellStyle name="40% - Accent6" xfId="3" builtinId="51"/>
    <cellStyle name="60% - Accent5" xfId="4" builtinId="48"/>
    <cellStyle name="Accent6" xfId="5" builtinId="49"/>
    <cellStyle name="40% - Accent5" xfId="6" builtinId="47"/>
    <cellStyle name="20% - Accent5" xfId="7" builtinId="46"/>
    <cellStyle name="60% - Accent4" xfId="8" builtinId="44"/>
    <cellStyle name="Accent5" xfId="9" builtinId="45"/>
    <cellStyle name="40% - Accent4" xfId="10" builtinId="43"/>
    <cellStyle name="Accent4" xfId="11" builtinId="41"/>
    <cellStyle name="Linked Cell" xfId="12" builtinId="24"/>
    <cellStyle name="40% - Accent3" xfId="13" builtinId="39"/>
    <cellStyle name="60% - Accent2" xfId="14" builtinId="36"/>
    <cellStyle name="Accent3" xfId="15" builtinId="37"/>
    <cellStyle name="40% - Accent2" xfId="16" builtinId="35"/>
    <cellStyle name="20% - Accent2" xfId="17" builtinId="34"/>
    <cellStyle name="Accent2" xfId="18" builtinId="33"/>
    <cellStyle name="40% - Accent1" xfId="19" builtinId="31"/>
    <cellStyle name="20% - Accent1" xfId="20" builtinId="30"/>
    <cellStyle name="Accent1" xfId="21" builtinId="29"/>
    <cellStyle name="Neutral" xfId="22" builtinId="28"/>
    <cellStyle name="60% - Accent1" xfId="23" builtinId="32"/>
    <cellStyle name="Bad" xfId="24" builtinId="27"/>
    <cellStyle name="20% - Accent4" xfId="25" builtinId="42"/>
    <cellStyle name="Total" xfId="26" builtinId="25"/>
    <cellStyle name="Output" xfId="27" builtinId="21"/>
    <cellStyle name="Currency" xfId="28" builtinId="4"/>
    <cellStyle name="20% - Accent3" xfId="29" builtinId="38"/>
    <cellStyle name="Note" xfId="30" builtinId="10"/>
    <cellStyle name="Input" xfId="31" builtinId="20"/>
    <cellStyle name="Heading 4" xfId="32" builtinId="19"/>
    <cellStyle name="Calculation" xfId="33" builtinId="22"/>
    <cellStyle name="Good" xfId="34" builtinId="26"/>
    <cellStyle name="Heading 3" xfId="35" builtinId="18"/>
    <cellStyle name="CExplanatory Text" xfId="36" builtinId="53"/>
    <cellStyle name="Heading 1" xfId="37" builtinId="16"/>
    <cellStyle name="Comma [0]" xfId="38" builtinId="6"/>
    <cellStyle name="20% - Accent6" xfId="39" builtinId="50"/>
    <cellStyle name="Title" xfId="40" builtinId="15"/>
    <cellStyle name="Currency [0]" xfId="41" builtinId="7"/>
    <cellStyle name="Warning Text" xfId="42" builtinId="11"/>
    <cellStyle name="Followed Hyperlink" xfId="43" builtinId="9"/>
    <cellStyle name="Heading 2" xfId="44" builtinId="17"/>
    <cellStyle name="Comma" xfId="45" builtinId="3"/>
    <cellStyle name="Check Cell" xfId="46" builtinId="23"/>
    <cellStyle name="60% - Accent3" xfId="47" builtinId="40"/>
    <cellStyle name="Percent" xfId="48" builtinId="5"/>
    <cellStyle name="Hyperlink" xfId="49" builtinId="8"/>
  </cellStyles>
  <dxfs count="3">
    <dxf>
      <font>
        <name val="Calibri"/>
        <scheme val="none"/>
        <charset val="1"/>
        <family val="2"/>
        <b val="1"/>
        <i val="0"/>
        <sz val="11"/>
        <color rgb="FF000000"/>
      </font>
      <fill>
        <patternFill patternType="solid">
          <bgColor rgb="FFFF0000"/>
        </patternFill>
      </fill>
    </dxf>
    <dxf>
      <font>
        <name val="Calibri"/>
        <scheme val="none"/>
        <charset val="1"/>
        <family val="2"/>
        <sz val="11"/>
        <color rgb="FF000000"/>
      </font>
      <fill>
        <patternFill patternType="solid">
          <bgColor rgb="FFFFE699"/>
        </patternFill>
      </fill>
    </dxf>
    <dxf>
      <font>
        <name val="Calibri"/>
        <scheme val="none"/>
        <charset val="1"/>
        <family val="2"/>
        <sz val="11"/>
        <color rgb="FF000000"/>
      </font>
      <fill>
        <patternFill patternType="solid">
          <bgColor rgb="FFFFFF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8" Type="http://schemas.openxmlformats.org/officeDocument/2006/relationships/sharedStrings" Target="sharedStrings.xml"/><Relationship Id="rId27" Type="http://schemas.openxmlformats.org/officeDocument/2006/relationships/styles" Target="styles.xml"/><Relationship Id="rId26" Type="http://schemas.openxmlformats.org/officeDocument/2006/relationships/theme" Target="theme/theme1.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7" Type="http://schemas.openxmlformats.org/officeDocument/2006/relationships/image" Target="../media/image87.png"/><Relationship Id="rId6"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84.png"/><Relationship Id="rId3" Type="http://schemas.openxmlformats.org/officeDocument/2006/relationships/image" Target="../media/image83.png"/><Relationship Id="rId2" Type="http://schemas.openxmlformats.org/officeDocument/2006/relationships/image" Target="../media/image82.png"/><Relationship Id="rId1" Type="http://schemas.openxmlformats.org/officeDocument/2006/relationships/image" Target="../media/image81.png"/></Relationships>
</file>

<file path=xl/drawings/_rels/drawing11.xml.rels><?xml version="1.0" encoding="UTF-8" standalone="yes"?>
<Relationships xmlns="http://schemas.openxmlformats.org/package/2006/relationships"><Relationship Id="rId7" Type="http://schemas.openxmlformats.org/officeDocument/2006/relationships/image" Target="../media/image94.png"/><Relationship Id="rId6" Type="http://schemas.openxmlformats.org/officeDocument/2006/relationships/image" Target="../media/image93.png"/><Relationship Id="rId5" Type="http://schemas.openxmlformats.org/officeDocument/2006/relationships/image" Target="../media/image92.png"/><Relationship Id="rId4" Type="http://schemas.openxmlformats.org/officeDocument/2006/relationships/image" Target="../media/image91.png"/><Relationship Id="rId3" Type="http://schemas.openxmlformats.org/officeDocument/2006/relationships/image" Target="../media/image90.png"/><Relationship Id="rId2" Type="http://schemas.openxmlformats.org/officeDocument/2006/relationships/image" Target="../media/image89.png"/><Relationship Id="rId1" Type="http://schemas.openxmlformats.org/officeDocument/2006/relationships/image" Target="../media/image88.png"/></Relationships>
</file>

<file path=xl/drawings/_rels/drawing12.xml.rels><?xml version="1.0" encoding="UTF-8" standalone="yes"?>
<Relationships xmlns="http://schemas.openxmlformats.org/package/2006/relationships"><Relationship Id="rId9" Type="http://schemas.openxmlformats.org/officeDocument/2006/relationships/image" Target="../media/image103.png"/><Relationship Id="rId8" Type="http://schemas.openxmlformats.org/officeDocument/2006/relationships/image" Target="../media/image102.png"/><Relationship Id="rId7" Type="http://schemas.openxmlformats.org/officeDocument/2006/relationships/image" Target="../media/image101.png"/><Relationship Id="rId6" Type="http://schemas.openxmlformats.org/officeDocument/2006/relationships/image" Target="../media/image100.png"/><Relationship Id="rId5" Type="http://schemas.openxmlformats.org/officeDocument/2006/relationships/image" Target="../media/image99.png"/><Relationship Id="rId4" Type="http://schemas.openxmlformats.org/officeDocument/2006/relationships/image" Target="../media/image98.png"/><Relationship Id="rId3" Type="http://schemas.openxmlformats.org/officeDocument/2006/relationships/image" Target="../media/image97.png"/><Relationship Id="rId2" Type="http://schemas.openxmlformats.org/officeDocument/2006/relationships/image" Target="../media/image96.png"/><Relationship Id="rId10" Type="http://schemas.openxmlformats.org/officeDocument/2006/relationships/image" Target="../media/image104.png"/><Relationship Id="rId1" Type="http://schemas.openxmlformats.org/officeDocument/2006/relationships/image" Target="../media/image95.png"/></Relationships>
</file>

<file path=xl/drawings/_rels/drawing13.xml.rels><?xml version="1.0" encoding="UTF-8" standalone="yes"?>
<Relationships xmlns="http://schemas.openxmlformats.org/package/2006/relationships"><Relationship Id="rId9" Type="http://schemas.openxmlformats.org/officeDocument/2006/relationships/image" Target="../media/image104.png"/><Relationship Id="rId8" Type="http://schemas.openxmlformats.org/officeDocument/2006/relationships/image" Target="../media/image103.png"/><Relationship Id="rId7" Type="http://schemas.openxmlformats.org/officeDocument/2006/relationships/image" Target="../media/image102.png"/><Relationship Id="rId6" Type="http://schemas.openxmlformats.org/officeDocument/2006/relationships/image" Target="../media/image101.png"/><Relationship Id="rId5" Type="http://schemas.openxmlformats.org/officeDocument/2006/relationships/image" Target="../media/image100.png"/><Relationship Id="rId4" Type="http://schemas.openxmlformats.org/officeDocument/2006/relationships/image" Target="../media/image99.png"/><Relationship Id="rId3" Type="http://schemas.openxmlformats.org/officeDocument/2006/relationships/image" Target="../media/image98.png"/><Relationship Id="rId2" Type="http://schemas.openxmlformats.org/officeDocument/2006/relationships/image" Target="../media/image96.png"/><Relationship Id="rId10" Type="http://schemas.openxmlformats.org/officeDocument/2006/relationships/image" Target="../media/image105.png"/><Relationship Id="rId1" Type="http://schemas.openxmlformats.org/officeDocument/2006/relationships/image" Target="../media/image95.png"/></Relationships>
</file>

<file path=xl/drawings/_rels/drawing14.xml.rels><?xml version="1.0" encoding="UTF-8" standalone="yes"?>
<Relationships xmlns="http://schemas.openxmlformats.org/package/2006/relationships"><Relationship Id="rId9" Type="http://schemas.openxmlformats.org/officeDocument/2006/relationships/image" Target="../media/image114.png"/><Relationship Id="rId8" Type="http://schemas.openxmlformats.org/officeDocument/2006/relationships/image" Target="../media/image113.png"/><Relationship Id="rId7" Type="http://schemas.openxmlformats.org/officeDocument/2006/relationships/image" Target="../media/image112.png"/><Relationship Id="rId6" Type="http://schemas.openxmlformats.org/officeDocument/2006/relationships/image" Target="../media/image111.png"/><Relationship Id="rId5" Type="http://schemas.openxmlformats.org/officeDocument/2006/relationships/image" Target="../media/image110.png"/><Relationship Id="rId4" Type="http://schemas.openxmlformats.org/officeDocument/2006/relationships/image" Target="../media/image109.png"/><Relationship Id="rId3" Type="http://schemas.openxmlformats.org/officeDocument/2006/relationships/image" Target="../media/image108.png"/><Relationship Id="rId2" Type="http://schemas.openxmlformats.org/officeDocument/2006/relationships/image" Target="../media/image107.png"/><Relationship Id="rId1" Type="http://schemas.openxmlformats.org/officeDocument/2006/relationships/image" Target="../media/image106.png"/></Relationships>
</file>

<file path=xl/drawings/_rels/drawing15.xml.rels><?xml version="1.0" encoding="UTF-8" standalone="yes"?>
<Relationships xmlns="http://schemas.openxmlformats.org/package/2006/relationships"><Relationship Id="rId9" Type="http://schemas.openxmlformats.org/officeDocument/2006/relationships/image" Target="../media/image123.png"/><Relationship Id="rId8" Type="http://schemas.openxmlformats.org/officeDocument/2006/relationships/image" Target="../media/image122.png"/><Relationship Id="rId7" Type="http://schemas.openxmlformats.org/officeDocument/2006/relationships/image" Target="../media/image121.png"/><Relationship Id="rId6" Type="http://schemas.openxmlformats.org/officeDocument/2006/relationships/image" Target="../media/image120.png"/><Relationship Id="rId5" Type="http://schemas.openxmlformats.org/officeDocument/2006/relationships/image" Target="../media/image119.png"/><Relationship Id="rId4" Type="http://schemas.openxmlformats.org/officeDocument/2006/relationships/image" Target="../media/image118.png"/><Relationship Id="rId3" Type="http://schemas.openxmlformats.org/officeDocument/2006/relationships/image" Target="../media/image117.png"/><Relationship Id="rId2" Type="http://schemas.openxmlformats.org/officeDocument/2006/relationships/image" Target="../media/image116.png"/><Relationship Id="rId1" Type="http://schemas.openxmlformats.org/officeDocument/2006/relationships/image" Target="../media/image115.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31.png"/><Relationship Id="rId7" Type="http://schemas.openxmlformats.org/officeDocument/2006/relationships/image" Target="../media/image130.png"/><Relationship Id="rId6" Type="http://schemas.openxmlformats.org/officeDocument/2006/relationships/image" Target="../media/image129.png"/><Relationship Id="rId5" Type="http://schemas.openxmlformats.org/officeDocument/2006/relationships/image" Target="../media/image128.png"/><Relationship Id="rId4" Type="http://schemas.openxmlformats.org/officeDocument/2006/relationships/image" Target="../media/image127.png"/><Relationship Id="rId3" Type="http://schemas.openxmlformats.org/officeDocument/2006/relationships/image" Target="../media/image126.png"/><Relationship Id="rId2" Type="http://schemas.openxmlformats.org/officeDocument/2006/relationships/image" Target="../media/image125.png"/><Relationship Id="rId1" Type="http://schemas.openxmlformats.org/officeDocument/2006/relationships/image" Target="../media/image124.png"/></Relationships>
</file>

<file path=xl/drawings/_rels/drawing17.xml.rels><?xml version="1.0" encoding="UTF-8" standalone="yes"?>
<Relationships xmlns="http://schemas.openxmlformats.org/package/2006/relationships"><Relationship Id="rId6" Type="http://schemas.openxmlformats.org/officeDocument/2006/relationships/image" Target="../media/image137.png"/><Relationship Id="rId5" Type="http://schemas.openxmlformats.org/officeDocument/2006/relationships/image" Target="../media/image136.png"/><Relationship Id="rId4" Type="http://schemas.openxmlformats.org/officeDocument/2006/relationships/image" Target="../media/image135.png"/><Relationship Id="rId3" Type="http://schemas.openxmlformats.org/officeDocument/2006/relationships/image" Target="../media/image134.png"/><Relationship Id="rId2" Type="http://schemas.openxmlformats.org/officeDocument/2006/relationships/image" Target="../media/image133.png"/><Relationship Id="rId1" Type="http://schemas.openxmlformats.org/officeDocument/2006/relationships/image" Target="../media/image132.png"/></Relationships>
</file>

<file path=xl/drawings/_rels/drawing18.xml.rels><?xml version="1.0" encoding="UTF-8" standalone="yes"?>
<Relationships xmlns="http://schemas.openxmlformats.org/package/2006/relationships"><Relationship Id="rId7" Type="http://schemas.openxmlformats.org/officeDocument/2006/relationships/image" Target="../media/image144.png"/><Relationship Id="rId6" Type="http://schemas.openxmlformats.org/officeDocument/2006/relationships/image" Target="../media/image143.png"/><Relationship Id="rId5" Type="http://schemas.openxmlformats.org/officeDocument/2006/relationships/image" Target="../media/image142.png"/><Relationship Id="rId4" Type="http://schemas.openxmlformats.org/officeDocument/2006/relationships/image" Target="../media/image141.png"/><Relationship Id="rId3" Type="http://schemas.openxmlformats.org/officeDocument/2006/relationships/image" Target="../media/image140.png"/><Relationship Id="rId2" Type="http://schemas.openxmlformats.org/officeDocument/2006/relationships/image" Target="../media/image139.png"/><Relationship Id="rId1" Type="http://schemas.openxmlformats.org/officeDocument/2006/relationships/image" Target="../media/image138.png"/></Relationships>
</file>

<file path=xl/drawings/_rels/drawing19.xml.rels><?xml version="1.0" encoding="UTF-8" standalone="yes"?>
<Relationships xmlns="http://schemas.openxmlformats.org/package/2006/relationships"><Relationship Id="rId9" Type="http://schemas.openxmlformats.org/officeDocument/2006/relationships/image" Target="../media/image153.png"/><Relationship Id="rId8" Type="http://schemas.openxmlformats.org/officeDocument/2006/relationships/image" Target="../media/image152.png"/><Relationship Id="rId7" Type="http://schemas.openxmlformats.org/officeDocument/2006/relationships/image" Target="../media/image151.png"/><Relationship Id="rId6" Type="http://schemas.openxmlformats.org/officeDocument/2006/relationships/image" Target="../media/image150.png"/><Relationship Id="rId5" Type="http://schemas.openxmlformats.org/officeDocument/2006/relationships/image" Target="../media/image149.png"/><Relationship Id="rId4" Type="http://schemas.openxmlformats.org/officeDocument/2006/relationships/image" Target="../media/image148.png"/><Relationship Id="rId3" Type="http://schemas.openxmlformats.org/officeDocument/2006/relationships/image" Target="../media/image147.png"/><Relationship Id="rId2" Type="http://schemas.openxmlformats.org/officeDocument/2006/relationships/image" Target="../media/image146.png"/><Relationship Id="rId10" Type="http://schemas.openxmlformats.org/officeDocument/2006/relationships/image" Target="../media/image154.png"/><Relationship Id="rId1" Type="http://schemas.openxmlformats.org/officeDocument/2006/relationships/image" Target="../media/image145.png"/></Relationships>
</file>

<file path=xl/drawings/_rels/drawing2.xml.rels><?xml version="1.0" encoding="UTF-8" standalone="yes"?>
<Relationships xmlns="http://schemas.openxmlformats.org/package/2006/relationships"><Relationship Id="rId7" Type="http://schemas.openxmlformats.org/officeDocument/2006/relationships/image" Target="NULL" TargetMode="External"/><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62.png"/><Relationship Id="rId7" Type="http://schemas.openxmlformats.org/officeDocument/2006/relationships/image" Target="../media/image161.png"/><Relationship Id="rId6" Type="http://schemas.openxmlformats.org/officeDocument/2006/relationships/image" Target="../media/image160.png"/><Relationship Id="rId5" Type="http://schemas.openxmlformats.org/officeDocument/2006/relationships/image" Target="../media/image159.png"/><Relationship Id="rId4" Type="http://schemas.openxmlformats.org/officeDocument/2006/relationships/image" Target="../media/image158.png"/><Relationship Id="rId3" Type="http://schemas.openxmlformats.org/officeDocument/2006/relationships/image" Target="../media/image157.png"/><Relationship Id="rId2" Type="http://schemas.openxmlformats.org/officeDocument/2006/relationships/image" Target="../media/image156.png"/><Relationship Id="rId1" Type="http://schemas.openxmlformats.org/officeDocument/2006/relationships/image" Target="../media/image155.png"/></Relationships>
</file>

<file path=xl/drawings/_rels/drawing21.xml.rels><?xml version="1.0" encoding="UTF-8" standalone="yes"?>
<Relationships xmlns="http://schemas.openxmlformats.org/package/2006/relationships"><Relationship Id="rId9" Type="http://schemas.openxmlformats.org/officeDocument/2006/relationships/image" Target="../media/image171.png"/><Relationship Id="rId8" Type="http://schemas.openxmlformats.org/officeDocument/2006/relationships/image" Target="../media/image170.png"/><Relationship Id="rId7" Type="http://schemas.openxmlformats.org/officeDocument/2006/relationships/image" Target="../media/image169.png"/><Relationship Id="rId6" Type="http://schemas.openxmlformats.org/officeDocument/2006/relationships/image" Target="../media/image168.png"/><Relationship Id="rId5" Type="http://schemas.openxmlformats.org/officeDocument/2006/relationships/image" Target="../media/image167.png"/><Relationship Id="rId4" Type="http://schemas.openxmlformats.org/officeDocument/2006/relationships/image" Target="../media/image166.png"/><Relationship Id="rId3" Type="http://schemas.openxmlformats.org/officeDocument/2006/relationships/image" Target="../media/image165.png"/><Relationship Id="rId2" Type="http://schemas.openxmlformats.org/officeDocument/2006/relationships/image" Target="../media/image164.png"/><Relationship Id="rId10" Type="http://schemas.openxmlformats.org/officeDocument/2006/relationships/image" Target="../media/image172.png"/><Relationship Id="rId1" Type="http://schemas.openxmlformats.org/officeDocument/2006/relationships/image" Target="../media/image163.png"/></Relationships>
</file>

<file path=xl/drawings/_rels/drawing22.xml.rels><?xml version="1.0" encoding="UTF-8" standalone="yes"?>
<Relationships xmlns="http://schemas.openxmlformats.org/package/2006/relationships"><Relationship Id="rId8" Type="http://schemas.openxmlformats.org/officeDocument/2006/relationships/image" Target="../media/image180.png"/><Relationship Id="rId7" Type="http://schemas.openxmlformats.org/officeDocument/2006/relationships/image" Target="../media/image179.png"/><Relationship Id="rId6" Type="http://schemas.openxmlformats.org/officeDocument/2006/relationships/image" Target="../media/image178.png"/><Relationship Id="rId5" Type="http://schemas.openxmlformats.org/officeDocument/2006/relationships/image" Target="../media/image177.png"/><Relationship Id="rId4" Type="http://schemas.openxmlformats.org/officeDocument/2006/relationships/image" Target="../media/image176.png"/><Relationship Id="rId3" Type="http://schemas.openxmlformats.org/officeDocument/2006/relationships/image" Target="../media/image175.png"/><Relationship Id="rId2" Type="http://schemas.openxmlformats.org/officeDocument/2006/relationships/image" Target="../media/image174.png"/><Relationship Id="rId1" Type="http://schemas.openxmlformats.org/officeDocument/2006/relationships/image" Target="../media/image173.png"/></Relationships>
</file>

<file path=xl/drawings/_rels/drawing23.xml.rels><?xml version="1.0" encoding="UTF-8" standalone="yes"?>
<Relationships xmlns="http://schemas.openxmlformats.org/package/2006/relationships"><Relationship Id="rId7" Type="http://schemas.openxmlformats.org/officeDocument/2006/relationships/image" Target="../media/image187.png"/><Relationship Id="rId6" Type="http://schemas.openxmlformats.org/officeDocument/2006/relationships/image" Target="../media/image186.png"/><Relationship Id="rId5" Type="http://schemas.openxmlformats.org/officeDocument/2006/relationships/image" Target="../media/image185.png"/><Relationship Id="rId4" Type="http://schemas.openxmlformats.org/officeDocument/2006/relationships/image" Target="../media/image184.png"/><Relationship Id="rId3" Type="http://schemas.openxmlformats.org/officeDocument/2006/relationships/image" Target="../media/image183.png"/><Relationship Id="rId2" Type="http://schemas.openxmlformats.org/officeDocument/2006/relationships/image" Target="../media/image182.png"/><Relationship Id="rId1" Type="http://schemas.openxmlformats.org/officeDocument/2006/relationships/image" Target="../media/image181.png"/></Relationships>
</file>

<file path=xl/drawings/_rels/drawing3.xml.rels><?xml version="1.0" encoding="UTF-8" standalone="yes"?>
<Relationships xmlns="http://schemas.openxmlformats.org/package/2006/relationships"><Relationship Id="rId5" Type="http://schemas.openxmlformats.org/officeDocument/2006/relationships/image" Target="../media/image19.png"/><Relationship Id="rId4" Type="http://schemas.openxmlformats.org/officeDocument/2006/relationships/image" Target="../media/image18.png"/><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4.xml.rels><?xml version="1.0" encoding="UTF-8" standalone="yes"?>
<Relationships xmlns="http://schemas.openxmlformats.org/package/2006/relationships"><Relationship Id="rId9" Type="http://schemas.openxmlformats.org/officeDocument/2006/relationships/image" Target="../media/image28.png"/><Relationship Id="rId8" Type="http://schemas.openxmlformats.org/officeDocument/2006/relationships/image" Target="../media/image27.png"/><Relationship Id="rId7" Type="http://schemas.openxmlformats.org/officeDocument/2006/relationships/image" Target="../media/image26.png"/><Relationship Id="rId6" Type="http://schemas.openxmlformats.org/officeDocument/2006/relationships/image" Target="../media/image25.png"/><Relationship Id="rId5" Type="http://schemas.openxmlformats.org/officeDocument/2006/relationships/image" Target="../media/image24.png"/><Relationship Id="rId4" Type="http://schemas.openxmlformats.org/officeDocument/2006/relationships/image" Target="../media/image23.png"/><Relationship Id="rId3" Type="http://schemas.openxmlformats.org/officeDocument/2006/relationships/image" Target="../media/image22.png"/><Relationship Id="rId2" Type="http://schemas.openxmlformats.org/officeDocument/2006/relationships/image" Target="../media/image21.png"/><Relationship Id="rId11" Type="http://schemas.openxmlformats.org/officeDocument/2006/relationships/image" Target="../media/image30.png"/><Relationship Id="rId10" Type="http://schemas.openxmlformats.org/officeDocument/2006/relationships/image" Target="../media/image29.png"/><Relationship Id="rId1" Type="http://schemas.openxmlformats.org/officeDocument/2006/relationships/image" Target="../media/image20.png"/></Relationships>
</file>

<file path=xl/drawings/_rels/drawing5.xml.rels><?xml version="1.0" encoding="UTF-8" standalone="yes"?>
<Relationships xmlns="http://schemas.openxmlformats.org/package/2006/relationships"><Relationship Id="rId9" Type="http://schemas.openxmlformats.org/officeDocument/2006/relationships/image" Target="../media/image39.png"/><Relationship Id="rId8" Type="http://schemas.openxmlformats.org/officeDocument/2006/relationships/image" Target="../media/image38.png"/><Relationship Id="rId7" Type="http://schemas.openxmlformats.org/officeDocument/2006/relationships/image" Target="../media/image37.png"/><Relationship Id="rId6" Type="http://schemas.openxmlformats.org/officeDocument/2006/relationships/image" Target="../media/image36.png"/><Relationship Id="rId5" Type="http://schemas.openxmlformats.org/officeDocument/2006/relationships/image" Target="../media/image35.png"/><Relationship Id="rId4" Type="http://schemas.openxmlformats.org/officeDocument/2006/relationships/image" Target="../media/image34.png"/><Relationship Id="rId3" Type="http://schemas.openxmlformats.org/officeDocument/2006/relationships/image" Target="../media/image33.png"/><Relationship Id="rId2" Type="http://schemas.openxmlformats.org/officeDocument/2006/relationships/image" Target="../media/image32.png"/><Relationship Id="rId10" Type="http://schemas.openxmlformats.org/officeDocument/2006/relationships/image" Target="../media/image40.png"/><Relationship Id="rId1" Type="http://schemas.openxmlformats.org/officeDocument/2006/relationships/image" Target="../media/image31.png"/></Relationships>
</file>

<file path=xl/drawings/_rels/drawing6.xml.rels><?xml version="1.0" encoding="UTF-8" standalone="yes"?>
<Relationships xmlns="http://schemas.openxmlformats.org/package/2006/relationships"><Relationship Id="rId7" Type="http://schemas.openxmlformats.org/officeDocument/2006/relationships/image" Target="../media/image47.png"/><Relationship Id="rId6" Type="http://schemas.openxmlformats.org/officeDocument/2006/relationships/image" Target="../media/image46.png"/><Relationship Id="rId5" Type="http://schemas.openxmlformats.org/officeDocument/2006/relationships/image" Target="../media/image45.png"/><Relationship Id="rId4" Type="http://schemas.openxmlformats.org/officeDocument/2006/relationships/image" Target="../media/image44.png"/><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_rels/drawing7.xml.rels><?xml version="1.0" encoding="UTF-8" standalone="yes"?>
<Relationships xmlns="http://schemas.openxmlformats.org/package/2006/relationships"><Relationship Id="rId9" Type="http://schemas.openxmlformats.org/officeDocument/2006/relationships/image" Target="../media/image56.png"/><Relationship Id="rId8" Type="http://schemas.openxmlformats.org/officeDocument/2006/relationships/image" Target="../media/image55.png"/><Relationship Id="rId7" Type="http://schemas.openxmlformats.org/officeDocument/2006/relationships/image" Target="../media/image54.png"/><Relationship Id="rId6" Type="http://schemas.openxmlformats.org/officeDocument/2006/relationships/image" Target="../media/image53.png"/><Relationship Id="rId5" Type="http://schemas.openxmlformats.org/officeDocument/2006/relationships/image" Target="../media/image52.png"/><Relationship Id="rId4" Type="http://schemas.openxmlformats.org/officeDocument/2006/relationships/image" Target="../media/image51.png"/><Relationship Id="rId3" Type="http://schemas.openxmlformats.org/officeDocument/2006/relationships/image" Target="../media/image50.png"/><Relationship Id="rId2" Type="http://schemas.openxmlformats.org/officeDocument/2006/relationships/image" Target="../media/image49.png"/><Relationship Id="rId11" Type="http://schemas.openxmlformats.org/officeDocument/2006/relationships/image" Target="../media/image58.png"/><Relationship Id="rId10" Type="http://schemas.openxmlformats.org/officeDocument/2006/relationships/image" Target="../media/image57.png"/><Relationship Id="rId1" Type="http://schemas.openxmlformats.org/officeDocument/2006/relationships/image" Target="../media/image48.png"/></Relationships>
</file>

<file path=xl/drawings/_rels/drawing8.xml.rels><?xml version="1.0" encoding="UTF-8" standalone="yes"?>
<Relationships xmlns="http://schemas.openxmlformats.org/package/2006/relationships"><Relationship Id="rId9" Type="http://schemas.openxmlformats.org/officeDocument/2006/relationships/image" Target="../media/image67.png"/><Relationship Id="rId8" Type="http://schemas.openxmlformats.org/officeDocument/2006/relationships/image" Target="../media/image66.png"/><Relationship Id="rId7" Type="http://schemas.openxmlformats.org/officeDocument/2006/relationships/image" Target="../media/image65.png"/><Relationship Id="rId6" Type="http://schemas.openxmlformats.org/officeDocument/2006/relationships/image" Target="../media/image64.png"/><Relationship Id="rId5" Type="http://schemas.openxmlformats.org/officeDocument/2006/relationships/image" Target="../media/image63.png"/><Relationship Id="rId4" Type="http://schemas.openxmlformats.org/officeDocument/2006/relationships/image" Target="../media/image62.png"/><Relationship Id="rId3" Type="http://schemas.openxmlformats.org/officeDocument/2006/relationships/image" Target="../media/image61.png"/><Relationship Id="rId2" Type="http://schemas.openxmlformats.org/officeDocument/2006/relationships/image" Target="../media/image60.png"/><Relationship Id="rId16" Type="http://schemas.openxmlformats.org/officeDocument/2006/relationships/image" Target="../media/image74.png"/><Relationship Id="rId15" Type="http://schemas.openxmlformats.org/officeDocument/2006/relationships/image" Target="../media/image73.png"/><Relationship Id="rId14" Type="http://schemas.openxmlformats.org/officeDocument/2006/relationships/image" Target="../media/image72.png"/><Relationship Id="rId13" Type="http://schemas.openxmlformats.org/officeDocument/2006/relationships/image" Target="../media/image71.png"/><Relationship Id="rId12" Type="http://schemas.openxmlformats.org/officeDocument/2006/relationships/image" Target="../media/image70.png"/><Relationship Id="rId11" Type="http://schemas.openxmlformats.org/officeDocument/2006/relationships/image" Target="../media/image69.png"/><Relationship Id="rId10" Type="http://schemas.openxmlformats.org/officeDocument/2006/relationships/image" Target="../media/image68.png"/><Relationship Id="rId1" Type="http://schemas.openxmlformats.org/officeDocument/2006/relationships/image" Target="../media/image59.png"/></Relationships>
</file>

<file path=xl/drawings/_rels/drawing9.xml.rels><?xml version="1.0" encoding="UTF-8" standalone="yes"?>
<Relationships xmlns="http://schemas.openxmlformats.org/package/2006/relationships"><Relationship Id="rId6" Type="http://schemas.openxmlformats.org/officeDocument/2006/relationships/image" Target="../media/image80.png"/><Relationship Id="rId5" Type="http://schemas.openxmlformats.org/officeDocument/2006/relationships/image" Target="../media/image79.png"/><Relationship Id="rId4" Type="http://schemas.openxmlformats.org/officeDocument/2006/relationships/image" Target="../media/image78.png"/><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371475</xdr:colOff>
      <xdr:row>0</xdr:row>
      <xdr:rowOff>133350</xdr:rowOff>
    </xdr:from>
    <xdr:to>
      <xdr:col>16</xdr:col>
      <xdr:colOff>217805</xdr:colOff>
      <xdr:row>20</xdr:row>
      <xdr:rowOff>152400</xdr:rowOff>
    </xdr:to>
    <xdr:pic>
      <xdr:nvPicPr>
        <xdr:cNvPr id="2" name="Picture 1" descr="Screenshot from 2021-06-08 11-25-57"/>
        <xdr:cNvPicPr>
          <a:picLocks noChangeAspect="true"/>
        </xdr:cNvPicPr>
      </xdr:nvPicPr>
      <xdr:blipFill>
        <a:blip r:embed="rId1"/>
        <a:stretch>
          <a:fillRect/>
        </a:stretch>
      </xdr:blipFill>
      <xdr:spPr>
        <a:xfrm>
          <a:off x="9705975" y="133350"/>
          <a:ext cx="4875530" cy="4019550"/>
        </a:xfrm>
        <a:prstGeom prst="rect">
          <a:avLst/>
        </a:prstGeom>
      </xdr:spPr>
    </xdr:pic>
    <xdr:clientData/>
  </xdr:twoCellAnchor>
  <xdr:twoCellAnchor editAs="oneCell">
    <xdr:from>
      <xdr:col>10</xdr:col>
      <xdr:colOff>219075</xdr:colOff>
      <xdr:row>23</xdr:row>
      <xdr:rowOff>95250</xdr:rowOff>
    </xdr:from>
    <xdr:to>
      <xdr:col>17</xdr:col>
      <xdr:colOff>762000</xdr:colOff>
      <xdr:row>38</xdr:row>
      <xdr:rowOff>66675</xdr:rowOff>
    </xdr:to>
    <xdr:pic>
      <xdr:nvPicPr>
        <xdr:cNvPr id="3" name="Picture 2" descr="Screenshot from 2021-06-08 11-26-04"/>
        <xdr:cNvPicPr>
          <a:picLocks noChangeAspect="true"/>
        </xdr:cNvPicPr>
      </xdr:nvPicPr>
      <xdr:blipFill>
        <a:blip r:embed="rId2"/>
        <a:stretch>
          <a:fillRect/>
        </a:stretch>
      </xdr:blipFill>
      <xdr:spPr>
        <a:xfrm>
          <a:off x="9553575" y="4695825"/>
          <a:ext cx="6410325" cy="2971800"/>
        </a:xfrm>
        <a:prstGeom prst="rect">
          <a:avLst/>
        </a:prstGeom>
      </xdr:spPr>
    </xdr:pic>
    <xdr:clientData/>
  </xdr:twoCellAnchor>
  <xdr:twoCellAnchor editAs="oneCell">
    <xdr:from>
      <xdr:col>5</xdr:col>
      <xdr:colOff>57150</xdr:colOff>
      <xdr:row>1</xdr:row>
      <xdr:rowOff>152400</xdr:rowOff>
    </xdr:from>
    <xdr:to>
      <xdr:col>10</xdr:col>
      <xdr:colOff>128905</xdr:colOff>
      <xdr:row>20</xdr:row>
      <xdr:rowOff>66675</xdr:rowOff>
    </xdr:to>
    <xdr:pic>
      <xdr:nvPicPr>
        <xdr:cNvPr id="4" name="Picture 3" descr="Screenshot from 2021-06-08 11-26-08"/>
        <xdr:cNvPicPr>
          <a:picLocks noChangeAspect="true"/>
        </xdr:cNvPicPr>
      </xdr:nvPicPr>
      <xdr:blipFill>
        <a:blip r:embed="rId3"/>
        <a:stretch>
          <a:fillRect/>
        </a:stretch>
      </xdr:blipFill>
      <xdr:spPr>
        <a:xfrm>
          <a:off x="5200650" y="352425"/>
          <a:ext cx="4262755" cy="3714750"/>
        </a:xfrm>
        <a:prstGeom prst="rect">
          <a:avLst/>
        </a:prstGeom>
      </xdr:spPr>
    </xdr:pic>
    <xdr:clientData/>
  </xdr:twoCellAnchor>
  <xdr:twoCellAnchor editAs="oneCell">
    <xdr:from>
      <xdr:col>11</xdr:col>
      <xdr:colOff>704850</xdr:colOff>
      <xdr:row>43</xdr:row>
      <xdr:rowOff>171450</xdr:rowOff>
    </xdr:from>
    <xdr:to>
      <xdr:col>17</xdr:col>
      <xdr:colOff>752475</xdr:colOff>
      <xdr:row>62</xdr:row>
      <xdr:rowOff>65405</xdr:rowOff>
    </xdr:to>
    <xdr:pic>
      <xdr:nvPicPr>
        <xdr:cNvPr id="5" name="Picture 4" descr="Screenshot from 2021-06-08 11-26-14"/>
        <xdr:cNvPicPr>
          <a:picLocks noChangeAspect="true"/>
        </xdr:cNvPicPr>
      </xdr:nvPicPr>
      <xdr:blipFill>
        <a:blip r:embed="rId4"/>
        <a:stretch>
          <a:fillRect/>
        </a:stretch>
      </xdr:blipFill>
      <xdr:spPr>
        <a:xfrm>
          <a:off x="10877550" y="8772525"/>
          <a:ext cx="5076825" cy="3694430"/>
        </a:xfrm>
        <a:prstGeom prst="rect">
          <a:avLst/>
        </a:prstGeom>
      </xdr:spPr>
    </xdr:pic>
    <xdr:clientData/>
  </xdr:twoCellAnchor>
  <xdr:twoCellAnchor editAs="oneCell">
    <xdr:from>
      <xdr:col>0</xdr:col>
      <xdr:colOff>635</xdr:colOff>
      <xdr:row>70</xdr:row>
      <xdr:rowOff>76200</xdr:rowOff>
    </xdr:from>
    <xdr:to>
      <xdr:col>5</xdr:col>
      <xdr:colOff>135890</xdr:colOff>
      <xdr:row>120</xdr:row>
      <xdr:rowOff>133350</xdr:rowOff>
    </xdr:to>
    <xdr:pic>
      <xdr:nvPicPr>
        <xdr:cNvPr id="7" name="Picture 6" descr="Screenshot from 2021-06-08 11-26-32"/>
        <xdr:cNvPicPr>
          <a:picLocks noChangeAspect="true"/>
        </xdr:cNvPicPr>
      </xdr:nvPicPr>
      <xdr:blipFill>
        <a:blip r:embed="rId5"/>
        <a:stretch>
          <a:fillRect/>
        </a:stretch>
      </xdr:blipFill>
      <xdr:spPr>
        <a:xfrm>
          <a:off x="635" y="14077950"/>
          <a:ext cx="5278755" cy="10058400"/>
        </a:xfrm>
        <a:prstGeom prst="rect">
          <a:avLst/>
        </a:prstGeom>
      </xdr:spPr>
    </xdr:pic>
    <xdr:clientData/>
  </xdr:twoCellAnchor>
  <xdr:twoCellAnchor editAs="oneCell">
    <xdr:from>
      <xdr:col>5</xdr:col>
      <xdr:colOff>714375</xdr:colOff>
      <xdr:row>43</xdr:row>
      <xdr:rowOff>31115</xdr:rowOff>
    </xdr:from>
    <xdr:to>
      <xdr:col>9</xdr:col>
      <xdr:colOff>828675</xdr:colOff>
      <xdr:row>60</xdr:row>
      <xdr:rowOff>180975</xdr:rowOff>
    </xdr:to>
    <xdr:pic>
      <xdr:nvPicPr>
        <xdr:cNvPr id="8" name="Picture 7" descr="Screenshot from 2021-06-08 11-26-43"/>
        <xdr:cNvPicPr>
          <a:picLocks noChangeAspect="true"/>
        </xdr:cNvPicPr>
      </xdr:nvPicPr>
      <xdr:blipFill>
        <a:blip r:embed="rId6"/>
        <a:stretch>
          <a:fillRect/>
        </a:stretch>
      </xdr:blipFill>
      <xdr:spPr>
        <a:xfrm>
          <a:off x="5857875" y="8632190"/>
          <a:ext cx="3467100" cy="3550285"/>
        </a:xfrm>
        <a:prstGeom prst="rect">
          <a:avLst/>
        </a:prstGeom>
      </xdr:spPr>
    </xdr:pic>
    <xdr:clientData/>
  </xdr:twoCellAnchor>
  <xdr:twoCellAnchor editAs="oneCell">
    <xdr:from>
      <xdr:col>0</xdr:col>
      <xdr:colOff>152400</xdr:colOff>
      <xdr:row>46</xdr:row>
      <xdr:rowOff>114300</xdr:rowOff>
    </xdr:from>
    <xdr:to>
      <xdr:col>4</xdr:col>
      <xdr:colOff>643890</xdr:colOff>
      <xdr:row>68</xdr:row>
      <xdr:rowOff>142875</xdr:rowOff>
    </xdr:to>
    <xdr:pic>
      <xdr:nvPicPr>
        <xdr:cNvPr id="9" name="Picture 8" descr="Screenshot from 2021-06-08 11-26-50"/>
        <xdr:cNvPicPr>
          <a:picLocks noChangeAspect="true"/>
        </xdr:cNvPicPr>
      </xdr:nvPicPr>
      <xdr:blipFill>
        <a:blip r:embed="rId7"/>
        <a:stretch>
          <a:fillRect/>
        </a:stretch>
      </xdr:blipFill>
      <xdr:spPr>
        <a:xfrm>
          <a:off x="152400" y="9315450"/>
          <a:ext cx="4796790" cy="4429125"/>
        </a:xfrm>
        <a:prstGeom prst="rect">
          <a:avLst/>
        </a:prstGeom>
      </xdr:spPr>
    </xdr:pic>
    <xdr:clientData/>
  </xdr:twoCellAnchor>
  <xdr:twoCellAnchor editAs="oneCell">
    <xdr:from>
      <xdr:col>4</xdr:col>
      <xdr:colOff>790575</xdr:colOff>
      <xdr:row>22</xdr:row>
      <xdr:rowOff>133350</xdr:rowOff>
    </xdr:from>
    <xdr:to>
      <xdr:col>9</xdr:col>
      <xdr:colOff>752475</xdr:colOff>
      <xdr:row>37</xdr:row>
      <xdr:rowOff>133985</xdr:rowOff>
    </xdr:to>
    <xdr:pic>
      <xdr:nvPicPr>
        <xdr:cNvPr id="10" name="Picture 9" descr="Screenshot from 2021-06-08 11-27-01"/>
        <xdr:cNvPicPr>
          <a:picLocks noChangeAspect="true"/>
        </xdr:cNvPicPr>
      </xdr:nvPicPr>
      <xdr:blipFill>
        <a:blip r:embed="rId8"/>
        <a:stretch>
          <a:fillRect/>
        </a:stretch>
      </xdr:blipFill>
      <xdr:spPr>
        <a:xfrm>
          <a:off x="5095875" y="4533900"/>
          <a:ext cx="4152900" cy="300101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19050</xdr:colOff>
      <xdr:row>1</xdr:row>
      <xdr:rowOff>19050</xdr:rowOff>
    </xdr:from>
    <xdr:to>
      <xdr:col>10</xdr:col>
      <xdr:colOff>68580</xdr:colOff>
      <xdr:row>16</xdr:row>
      <xdr:rowOff>189230</xdr:rowOff>
    </xdr:to>
    <xdr:pic>
      <xdr:nvPicPr>
        <xdr:cNvPr id="2" name="Picture 1" descr="Screenshot from 2021-06-18 17-39-55"/>
        <xdr:cNvPicPr>
          <a:picLocks noChangeAspect="true"/>
        </xdr:cNvPicPr>
      </xdr:nvPicPr>
      <xdr:blipFill>
        <a:blip r:embed="rId1"/>
        <a:stretch>
          <a:fillRect/>
        </a:stretch>
      </xdr:blipFill>
      <xdr:spPr>
        <a:xfrm>
          <a:off x="3324225" y="219075"/>
          <a:ext cx="5916930" cy="3170555"/>
        </a:xfrm>
        <a:prstGeom prst="rect">
          <a:avLst/>
        </a:prstGeom>
      </xdr:spPr>
    </xdr:pic>
    <xdr:clientData/>
  </xdr:twoCellAnchor>
  <xdr:twoCellAnchor editAs="oneCell">
    <xdr:from>
      <xdr:col>9</xdr:col>
      <xdr:colOff>264160</xdr:colOff>
      <xdr:row>8</xdr:row>
      <xdr:rowOff>161925</xdr:rowOff>
    </xdr:from>
    <xdr:to>
      <xdr:col>13</xdr:col>
      <xdr:colOff>557530</xdr:colOff>
      <xdr:row>27</xdr:row>
      <xdr:rowOff>30480</xdr:rowOff>
    </xdr:to>
    <xdr:pic>
      <xdr:nvPicPr>
        <xdr:cNvPr id="3" name="Picture 2" descr="Screenshot from 2021-06-18 17-40-06"/>
        <xdr:cNvPicPr>
          <a:picLocks noChangeAspect="true"/>
        </xdr:cNvPicPr>
      </xdr:nvPicPr>
      <xdr:blipFill>
        <a:blip r:embed="rId2"/>
        <a:stretch>
          <a:fillRect/>
        </a:stretch>
      </xdr:blipFill>
      <xdr:spPr>
        <a:xfrm>
          <a:off x="8598535" y="1762125"/>
          <a:ext cx="3646170" cy="3669030"/>
        </a:xfrm>
        <a:prstGeom prst="rect">
          <a:avLst/>
        </a:prstGeom>
      </xdr:spPr>
    </xdr:pic>
    <xdr:clientData/>
  </xdr:twoCellAnchor>
  <xdr:twoCellAnchor editAs="oneCell">
    <xdr:from>
      <xdr:col>9</xdr:col>
      <xdr:colOff>323850</xdr:colOff>
      <xdr:row>1</xdr:row>
      <xdr:rowOff>28575</xdr:rowOff>
    </xdr:from>
    <xdr:to>
      <xdr:col>13</xdr:col>
      <xdr:colOff>66675</xdr:colOff>
      <xdr:row>7</xdr:row>
      <xdr:rowOff>173990</xdr:rowOff>
    </xdr:to>
    <xdr:pic>
      <xdr:nvPicPr>
        <xdr:cNvPr id="4" name="Picture 3" descr="Screenshot from 2021-06-18 17-40-12"/>
        <xdr:cNvPicPr>
          <a:picLocks noChangeAspect="true"/>
        </xdr:cNvPicPr>
      </xdr:nvPicPr>
      <xdr:blipFill>
        <a:blip r:embed="rId3"/>
        <a:stretch>
          <a:fillRect/>
        </a:stretch>
      </xdr:blipFill>
      <xdr:spPr>
        <a:xfrm>
          <a:off x="8658225" y="228600"/>
          <a:ext cx="3095625" cy="1345565"/>
        </a:xfrm>
        <a:prstGeom prst="rect">
          <a:avLst/>
        </a:prstGeom>
      </xdr:spPr>
    </xdr:pic>
    <xdr:clientData/>
  </xdr:twoCellAnchor>
  <xdr:twoCellAnchor editAs="oneCell">
    <xdr:from>
      <xdr:col>4</xdr:col>
      <xdr:colOff>85725</xdr:colOff>
      <xdr:row>17</xdr:row>
      <xdr:rowOff>161925</xdr:rowOff>
    </xdr:from>
    <xdr:to>
      <xdr:col>9</xdr:col>
      <xdr:colOff>43815</xdr:colOff>
      <xdr:row>31</xdr:row>
      <xdr:rowOff>34290</xdr:rowOff>
    </xdr:to>
    <xdr:pic>
      <xdr:nvPicPr>
        <xdr:cNvPr id="5" name="Picture 4" descr="Screenshot from 2021-06-18 17-40-47"/>
        <xdr:cNvPicPr>
          <a:picLocks noChangeAspect="true"/>
        </xdr:cNvPicPr>
      </xdr:nvPicPr>
      <xdr:blipFill>
        <a:blip r:embed="rId4"/>
        <a:stretch>
          <a:fillRect/>
        </a:stretch>
      </xdr:blipFill>
      <xdr:spPr>
        <a:xfrm>
          <a:off x="4229100" y="3562350"/>
          <a:ext cx="4149090" cy="2672715"/>
        </a:xfrm>
        <a:prstGeom prst="rect">
          <a:avLst/>
        </a:prstGeom>
      </xdr:spPr>
    </xdr:pic>
    <xdr:clientData/>
  </xdr:twoCellAnchor>
  <xdr:twoCellAnchor editAs="oneCell">
    <xdr:from>
      <xdr:col>3</xdr:col>
      <xdr:colOff>819150</xdr:colOff>
      <xdr:row>32</xdr:row>
      <xdr:rowOff>66675</xdr:rowOff>
    </xdr:from>
    <xdr:to>
      <xdr:col>8</xdr:col>
      <xdr:colOff>770255</xdr:colOff>
      <xdr:row>46</xdr:row>
      <xdr:rowOff>125730</xdr:rowOff>
    </xdr:to>
    <xdr:pic>
      <xdr:nvPicPr>
        <xdr:cNvPr id="6" name="Picture 5" descr="Screenshot from 2021-06-18 17-40-59"/>
        <xdr:cNvPicPr>
          <a:picLocks noChangeAspect="true"/>
        </xdr:cNvPicPr>
      </xdr:nvPicPr>
      <xdr:blipFill>
        <a:blip r:embed="rId5"/>
        <a:stretch>
          <a:fillRect/>
        </a:stretch>
      </xdr:blipFill>
      <xdr:spPr>
        <a:xfrm>
          <a:off x="4124325" y="6467475"/>
          <a:ext cx="4142105" cy="2859405"/>
        </a:xfrm>
        <a:prstGeom prst="rect">
          <a:avLst/>
        </a:prstGeom>
      </xdr:spPr>
    </xdr:pic>
    <xdr:clientData/>
  </xdr:twoCellAnchor>
  <xdr:twoCellAnchor editAs="oneCell">
    <xdr:from>
      <xdr:col>13</xdr:col>
      <xdr:colOff>104775</xdr:colOff>
      <xdr:row>17</xdr:row>
      <xdr:rowOff>66675</xdr:rowOff>
    </xdr:from>
    <xdr:to>
      <xdr:col>18</xdr:col>
      <xdr:colOff>123825</xdr:colOff>
      <xdr:row>32</xdr:row>
      <xdr:rowOff>0</xdr:rowOff>
    </xdr:to>
    <xdr:pic>
      <xdr:nvPicPr>
        <xdr:cNvPr id="7" name="Picture 6" descr="Screenshot from 2021-06-18 17-41-07"/>
        <xdr:cNvPicPr>
          <a:picLocks noChangeAspect="true"/>
        </xdr:cNvPicPr>
      </xdr:nvPicPr>
      <xdr:blipFill>
        <a:blip r:embed="rId6"/>
        <a:stretch>
          <a:fillRect/>
        </a:stretch>
      </xdr:blipFill>
      <xdr:spPr>
        <a:xfrm>
          <a:off x="11791950" y="3467100"/>
          <a:ext cx="4210050" cy="2933700"/>
        </a:xfrm>
        <a:prstGeom prst="rect">
          <a:avLst/>
        </a:prstGeom>
      </xdr:spPr>
    </xdr:pic>
    <xdr:clientData/>
  </xdr:twoCellAnchor>
  <xdr:twoCellAnchor editAs="oneCell">
    <xdr:from>
      <xdr:col>13</xdr:col>
      <xdr:colOff>276225</xdr:colOff>
      <xdr:row>1</xdr:row>
      <xdr:rowOff>19050</xdr:rowOff>
    </xdr:from>
    <xdr:to>
      <xdr:col>18</xdr:col>
      <xdr:colOff>271145</xdr:colOff>
      <xdr:row>15</xdr:row>
      <xdr:rowOff>133985</xdr:rowOff>
    </xdr:to>
    <xdr:pic>
      <xdr:nvPicPr>
        <xdr:cNvPr id="8" name="Picture 7" descr="Screenshot from 2021-06-18 17-41-15"/>
        <xdr:cNvPicPr>
          <a:picLocks noChangeAspect="true"/>
        </xdr:cNvPicPr>
      </xdr:nvPicPr>
      <xdr:blipFill>
        <a:blip r:embed="rId7"/>
        <a:stretch>
          <a:fillRect/>
        </a:stretch>
      </xdr:blipFill>
      <xdr:spPr>
        <a:xfrm>
          <a:off x="11963400" y="219075"/>
          <a:ext cx="4185920" cy="2915285"/>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704850</xdr:colOff>
      <xdr:row>26</xdr:row>
      <xdr:rowOff>34925</xdr:rowOff>
    </xdr:from>
    <xdr:to>
      <xdr:col>10</xdr:col>
      <xdr:colOff>587375</xdr:colOff>
      <xdr:row>47</xdr:row>
      <xdr:rowOff>57150</xdr:rowOff>
    </xdr:to>
    <xdr:pic>
      <xdr:nvPicPr>
        <xdr:cNvPr id="2" name="Picture 1" descr="Screenshot from 2021-06-09 09-03-28"/>
        <xdr:cNvPicPr>
          <a:picLocks noChangeAspect="true"/>
        </xdr:cNvPicPr>
      </xdr:nvPicPr>
      <xdr:blipFill>
        <a:blip r:embed="rId1"/>
        <a:stretch>
          <a:fillRect/>
        </a:stretch>
      </xdr:blipFill>
      <xdr:spPr>
        <a:xfrm>
          <a:off x="4192270" y="5235575"/>
          <a:ext cx="5749925" cy="4222750"/>
        </a:xfrm>
        <a:prstGeom prst="rect">
          <a:avLst/>
        </a:prstGeom>
      </xdr:spPr>
    </xdr:pic>
    <xdr:clientData/>
  </xdr:twoCellAnchor>
  <xdr:twoCellAnchor editAs="oneCell">
    <xdr:from>
      <xdr:col>4</xdr:col>
      <xdr:colOff>57150</xdr:colOff>
      <xdr:row>2</xdr:row>
      <xdr:rowOff>190500</xdr:rowOff>
    </xdr:from>
    <xdr:to>
      <xdr:col>12</xdr:col>
      <xdr:colOff>287020</xdr:colOff>
      <xdr:row>23</xdr:row>
      <xdr:rowOff>59690</xdr:rowOff>
    </xdr:to>
    <xdr:pic>
      <xdr:nvPicPr>
        <xdr:cNvPr id="3" name="Picture 2" descr="Screenshot from 2021-06-09 09-03-35"/>
        <xdr:cNvPicPr>
          <a:picLocks noChangeAspect="true"/>
        </xdr:cNvPicPr>
      </xdr:nvPicPr>
      <xdr:blipFill>
        <a:blip r:embed="rId2"/>
        <a:stretch>
          <a:fillRect/>
        </a:stretch>
      </xdr:blipFill>
      <xdr:spPr>
        <a:xfrm>
          <a:off x="4382770" y="590550"/>
          <a:ext cx="6935470" cy="4069715"/>
        </a:xfrm>
        <a:prstGeom prst="rect">
          <a:avLst/>
        </a:prstGeom>
      </xdr:spPr>
    </xdr:pic>
    <xdr:clientData/>
  </xdr:twoCellAnchor>
  <xdr:twoCellAnchor editAs="oneCell">
    <xdr:from>
      <xdr:col>18</xdr:col>
      <xdr:colOff>245110</xdr:colOff>
      <xdr:row>27</xdr:row>
      <xdr:rowOff>198755</xdr:rowOff>
    </xdr:from>
    <xdr:to>
      <xdr:col>24</xdr:col>
      <xdr:colOff>772160</xdr:colOff>
      <xdr:row>41</xdr:row>
      <xdr:rowOff>87630</xdr:rowOff>
    </xdr:to>
    <xdr:pic>
      <xdr:nvPicPr>
        <xdr:cNvPr id="4" name="Picture 3" descr="Screenshot from 2021-06-09 09-03-41"/>
        <xdr:cNvPicPr>
          <a:picLocks noChangeAspect="true"/>
        </xdr:cNvPicPr>
      </xdr:nvPicPr>
      <xdr:blipFill>
        <a:blip r:embed="rId3"/>
        <a:stretch>
          <a:fillRect/>
        </a:stretch>
      </xdr:blipFill>
      <xdr:spPr>
        <a:xfrm>
          <a:off x="16305530" y="5599430"/>
          <a:ext cx="5556250" cy="2689225"/>
        </a:xfrm>
        <a:prstGeom prst="rect">
          <a:avLst/>
        </a:prstGeom>
      </xdr:spPr>
    </xdr:pic>
    <xdr:clientData/>
  </xdr:twoCellAnchor>
  <xdr:twoCellAnchor editAs="oneCell">
    <xdr:from>
      <xdr:col>12</xdr:col>
      <xdr:colOff>266700</xdr:colOff>
      <xdr:row>3</xdr:row>
      <xdr:rowOff>50800</xdr:rowOff>
    </xdr:from>
    <xdr:to>
      <xdr:col>19</xdr:col>
      <xdr:colOff>163830</xdr:colOff>
      <xdr:row>22</xdr:row>
      <xdr:rowOff>145415</xdr:rowOff>
    </xdr:to>
    <xdr:pic>
      <xdr:nvPicPr>
        <xdr:cNvPr id="5" name="Picture 4" descr="Screenshot from 2021-06-09 09-03-45"/>
        <xdr:cNvPicPr>
          <a:picLocks noChangeAspect="true"/>
        </xdr:cNvPicPr>
      </xdr:nvPicPr>
      <xdr:blipFill>
        <a:blip r:embed="rId4"/>
        <a:stretch>
          <a:fillRect/>
        </a:stretch>
      </xdr:blipFill>
      <xdr:spPr>
        <a:xfrm>
          <a:off x="11297920" y="650875"/>
          <a:ext cx="5764530" cy="3895090"/>
        </a:xfrm>
        <a:prstGeom prst="rect">
          <a:avLst/>
        </a:prstGeom>
      </xdr:spPr>
    </xdr:pic>
    <xdr:clientData/>
  </xdr:twoCellAnchor>
  <xdr:twoCellAnchor editAs="oneCell">
    <xdr:from>
      <xdr:col>7</xdr:col>
      <xdr:colOff>301625</xdr:colOff>
      <xdr:row>47</xdr:row>
      <xdr:rowOff>133985</xdr:rowOff>
    </xdr:from>
    <xdr:to>
      <xdr:col>15</xdr:col>
      <xdr:colOff>828040</xdr:colOff>
      <xdr:row>66</xdr:row>
      <xdr:rowOff>130175</xdr:rowOff>
    </xdr:to>
    <xdr:pic>
      <xdr:nvPicPr>
        <xdr:cNvPr id="9" name="Picture 8" descr="Screenshot from 2021-06-09 09-04-56"/>
        <xdr:cNvPicPr>
          <a:picLocks noChangeAspect="true"/>
        </xdr:cNvPicPr>
      </xdr:nvPicPr>
      <xdr:blipFill>
        <a:blip r:embed="rId5"/>
        <a:stretch>
          <a:fillRect/>
        </a:stretch>
      </xdr:blipFill>
      <xdr:spPr>
        <a:xfrm>
          <a:off x="7141845" y="9535160"/>
          <a:ext cx="7232015" cy="3796665"/>
        </a:xfrm>
        <a:prstGeom prst="rect">
          <a:avLst/>
        </a:prstGeom>
      </xdr:spPr>
    </xdr:pic>
    <xdr:clientData/>
  </xdr:twoCellAnchor>
  <xdr:twoCellAnchor editAs="oneCell">
    <xdr:from>
      <xdr:col>0</xdr:col>
      <xdr:colOff>3175</xdr:colOff>
      <xdr:row>47</xdr:row>
      <xdr:rowOff>117475</xdr:rowOff>
    </xdr:from>
    <xdr:to>
      <xdr:col>6</xdr:col>
      <xdr:colOff>459105</xdr:colOff>
      <xdr:row>68</xdr:row>
      <xdr:rowOff>155575</xdr:rowOff>
    </xdr:to>
    <xdr:pic>
      <xdr:nvPicPr>
        <xdr:cNvPr id="10" name="Picture 9" descr="Screenshot from 2021-06-09 09-05-03"/>
        <xdr:cNvPicPr>
          <a:picLocks noChangeAspect="true"/>
        </xdr:cNvPicPr>
      </xdr:nvPicPr>
      <xdr:blipFill>
        <a:blip r:embed="rId6"/>
        <a:stretch>
          <a:fillRect/>
        </a:stretch>
      </xdr:blipFill>
      <xdr:spPr>
        <a:xfrm>
          <a:off x="3175" y="9518650"/>
          <a:ext cx="6457950" cy="4238625"/>
        </a:xfrm>
        <a:prstGeom prst="rect">
          <a:avLst/>
        </a:prstGeom>
      </xdr:spPr>
    </xdr:pic>
    <xdr:clientData/>
  </xdr:twoCellAnchor>
  <xdr:twoCellAnchor editAs="oneCell">
    <xdr:from>
      <xdr:col>10</xdr:col>
      <xdr:colOff>622300</xdr:colOff>
      <xdr:row>28</xdr:row>
      <xdr:rowOff>77470</xdr:rowOff>
    </xdr:from>
    <xdr:to>
      <xdr:col>18</xdr:col>
      <xdr:colOff>259715</xdr:colOff>
      <xdr:row>41</xdr:row>
      <xdr:rowOff>48895</xdr:rowOff>
    </xdr:to>
    <xdr:pic>
      <xdr:nvPicPr>
        <xdr:cNvPr id="11" name="Picture 10" descr="Screenshot from 2021-06-09 09-09-20"/>
        <xdr:cNvPicPr>
          <a:picLocks noChangeAspect="true"/>
        </xdr:cNvPicPr>
      </xdr:nvPicPr>
      <xdr:blipFill>
        <a:blip r:embed="rId7"/>
        <a:stretch>
          <a:fillRect/>
        </a:stretch>
      </xdr:blipFill>
      <xdr:spPr>
        <a:xfrm>
          <a:off x="9977120" y="5678170"/>
          <a:ext cx="6343015" cy="2571750"/>
        </a:xfrm>
        <a:prstGeom prst="rect">
          <a:avLst/>
        </a:prstGeom>
      </xdr:spPr>
    </xdr:pic>
    <xdr:clientData/>
  </xdr:twoCellAnchor>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137160</xdr:colOff>
      <xdr:row>13</xdr:row>
      <xdr:rowOff>154940</xdr:rowOff>
    </xdr:from>
    <xdr:to>
      <xdr:col>12</xdr:col>
      <xdr:colOff>779780</xdr:colOff>
      <xdr:row>45</xdr:row>
      <xdr:rowOff>121285</xdr:rowOff>
    </xdr:to>
    <xdr:pic>
      <xdr:nvPicPr>
        <xdr:cNvPr id="2" name="Picture 1" descr="Screenshot from 2021-06-09 09-16-21"/>
        <xdr:cNvPicPr>
          <a:picLocks noChangeAspect="true"/>
        </xdr:cNvPicPr>
      </xdr:nvPicPr>
      <xdr:blipFill>
        <a:blip r:embed="rId1"/>
        <a:stretch>
          <a:fillRect/>
        </a:stretch>
      </xdr:blipFill>
      <xdr:spPr>
        <a:xfrm>
          <a:off x="4449445" y="2755265"/>
          <a:ext cx="7348220" cy="6367145"/>
        </a:xfrm>
        <a:prstGeom prst="rect">
          <a:avLst/>
        </a:prstGeom>
      </xdr:spPr>
    </xdr:pic>
    <xdr:clientData/>
  </xdr:twoCellAnchor>
  <xdr:twoCellAnchor editAs="oneCell">
    <xdr:from>
      <xdr:col>13</xdr:col>
      <xdr:colOff>247015</xdr:colOff>
      <xdr:row>30</xdr:row>
      <xdr:rowOff>57785</xdr:rowOff>
    </xdr:from>
    <xdr:to>
      <xdr:col>20</xdr:col>
      <xdr:colOff>646430</xdr:colOff>
      <xdr:row>48</xdr:row>
      <xdr:rowOff>110490</xdr:rowOff>
    </xdr:to>
    <xdr:pic>
      <xdr:nvPicPr>
        <xdr:cNvPr id="4" name="Picture 3" descr="Screenshot from 2021-06-09 09-17-06"/>
        <xdr:cNvPicPr>
          <a:picLocks noChangeAspect="true"/>
        </xdr:cNvPicPr>
      </xdr:nvPicPr>
      <xdr:blipFill>
        <a:blip r:embed="rId2"/>
        <a:stretch>
          <a:fillRect/>
        </a:stretch>
      </xdr:blipFill>
      <xdr:spPr>
        <a:xfrm>
          <a:off x="12103100" y="6058535"/>
          <a:ext cx="6266815" cy="3653155"/>
        </a:xfrm>
        <a:prstGeom prst="rect">
          <a:avLst/>
        </a:prstGeom>
      </xdr:spPr>
    </xdr:pic>
    <xdr:clientData/>
  </xdr:twoCellAnchor>
  <xdr:twoCellAnchor editAs="oneCell">
    <xdr:from>
      <xdr:col>11</xdr:col>
      <xdr:colOff>137795</xdr:colOff>
      <xdr:row>0</xdr:row>
      <xdr:rowOff>107315</xdr:rowOff>
    </xdr:from>
    <xdr:to>
      <xdr:col>19</xdr:col>
      <xdr:colOff>109855</xdr:colOff>
      <xdr:row>14</xdr:row>
      <xdr:rowOff>104140</xdr:rowOff>
    </xdr:to>
    <xdr:pic>
      <xdr:nvPicPr>
        <xdr:cNvPr id="5" name="Picture 4" descr="Screenshot from 2021-06-09 09-17-12"/>
        <xdr:cNvPicPr>
          <a:picLocks noChangeAspect="true"/>
        </xdr:cNvPicPr>
      </xdr:nvPicPr>
      <xdr:blipFill>
        <a:blip r:embed="rId3"/>
        <a:stretch>
          <a:fillRect/>
        </a:stretch>
      </xdr:blipFill>
      <xdr:spPr>
        <a:xfrm>
          <a:off x="10317480" y="107315"/>
          <a:ext cx="6677660" cy="2797175"/>
        </a:xfrm>
        <a:prstGeom prst="rect">
          <a:avLst/>
        </a:prstGeom>
      </xdr:spPr>
    </xdr:pic>
    <xdr:clientData/>
  </xdr:twoCellAnchor>
  <xdr:twoCellAnchor editAs="oneCell">
    <xdr:from>
      <xdr:col>19</xdr:col>
      <xdr:colOff>589915</xdr:colOff>
      <xdr:row>6</xdr:row>
      <xdr:rowOff>52705</xdr:rowOff>
    </xdr:from>
    <xdr:to>
      <xdr:col>26</xdr:col>
      <xdr:colOff>635000</xdr:colOff>
      <xdr:row>27</xdr:row>
      <xdr:rowOff>162560</xdr:rowOff>
    </xdr:to>
    <xdr:pic>
      <xdr:nvPicPr>
        <xdr:cNvPr id="6" name="Picture 5" descr="Screenshot from 2021-06-09 09-17-18"/>
        <xdr:cNvPicPr>
          <a:picLocks noChangeAspect="true"/>
        </xdr:cNvPicPr>
      </xdr:nvPicPr>
      <xdr:blipFill>
        <a:blip r:embed="rId4"/>
        <a:stretch>
          <a:fillRect/>
        </a:stretch>
      </xdr:blipFill>
      <xdr:spPr>
        <a:xfrm>
          <a:off x="17475200" y="1252855"/>
          <a:ext cx="5912485" cy="4310380"/>
        </a:xfrm>
        <a:prstGeom prst="rect">
          <a:avLst/>
        </a:prstGeom>
      </xdr:spPr>
    </xdr:pic>
    <xdr:clientData/>
  </xdr:twoCellAnchor>
  <xdr:twoCellAnchor editAs="oneCell">
    <xdr:from>
      <xdr:col>4</xdr:col>
      <xdr:colOff>702945</xdr:colOff>
      <xdr:row>48</xdr:row>
      <xdr:rowOff>170180</xdr:rowOff>
    </xdr:from>
    <xdr:to>
      <xdr:col>12</xdr:col>
      <xdr:colOff>341630</xdr:colOff>
      <xdr:row>65</xdr:row>
      <xdr:rowOff>144780</xdr:rowOff>
    </xdr:to>
    <xdr:pic>
      <xdr:nvPicPr>
        <xdr:cNvPr id="7" name="Picture 6" descr="Screenshot from 2021-06-09 09-17-32"/>
        <xdr:cNvPicPr>
          <a:picLocks noChangeAspect="true"/>
        </xdr:cNvPicPr>
      </xdr:nvPicPr>
      <xdr:blipFill>
        <a:blip r:embed="rId5"/>
        <a:stretch>
          <a:fillRect/>
        </a:stretch>
      </xdr:blipFill>
      <xdr:spPr>
        <a:xfrm>
          <a:off x="5015230" y="9771380"/>
          <a:ext cx="6344285" cy="3375025"/>
        </a:xfrm>
        <a:prstGeom prst="rect">
          <a:avLst/>
        </a:prstGeom>
      </xdr:spPr>
    </xdr:pic>
    <xdr:clientData/>
  </xdr:twoCellAnchor>
  <xdr:twoCellAnchor editAs="oneCell">
    <xdr:from>
      <xdr:col>21</xdr:col>
      <xdr:colOff>264795</xdr:colOff>
      <xdr:row>28</xdr:row>
      <xdr:rowOff>46990</xdr:rowOff>
    </xdr:from>
    <xdr:to>
      <xdr:col>28</xdr:col>
      <xdr:colOff>692785</xdr:colOff>
      <xdr:row>58</xdr:row>
      <xdr:rowOff>180340</xdr:rowOff>
    </xdr:to>
    <xdr:pic>
      <xdr:nvPicPr>
        <xdr:cNvPr id="8" name="Picture 7" descr="Screenshot from 2021-06-09 09-17-37"/>
        <xdr:cNvPicPr>
          <a:picLocks noChangeAspect="true"/>
        </xdr:cNvPicPr>
      </xdr:nvPicPr>
      <xdr:blipFill>
        <a:blip r:embed="rId6"/>
        <a:stretch>
          <a:fillRect/>
        </a:stretch>
      </xdr:blipFill>
      <xdr:spPr>
        <a:xfrm>
          <a:off x="18826480" y="5647690"/>
          <a:ext cx="6295390" cy="6134100"/>
        </a:xfrm>
        <a:prstGeom prst="rect">
          <a:avLst/>
        </a:prstGeom>
      </xdr:spPr>
    </xdr:pic>
    <xdr:clientData/>
  </xdr:twoCellAnchor>
  <xdr:twoCellAnchor editAs="oneCell">
    <xdr:from>
      <xdr:col>12</xdr:col>
      <xdr:colOff>64770</xdr:colOff>
      <xdr:row>51</xdr:row>
      <xdr:rowOff>58420</xdr:rowOff>
    </xdr:from>
    <xdr:to>
      <xdr:col>21</xdr:col>
      <xdr:colOff>147320</xdr:colOff>
      <xdr:row>68</xdr:row>
      <xdr:rowOff>150495</xdr:rowOff>
    </xdr:to>
    <xdr:pic>
      <xdr:nvPicPr>
        <xdr:cNvPr id="9" name="Picture 8" descr="Screenshot from 2021-06-09 09-17-45"/>
        <xdr:cNvPicPr>
          <a:picLocks noChangeAspect="true"/>
        </xdr:cNvPicPr>
      </xdr:nvPicPr>
      <xdr:blipFill>
        <a:blip r:embed="rId7"/>
        <a:stretch>
          <a:fillRect/>
        </a:stretch>
      </xdr:blipFill>
      <xdr:spPr>
        <a:xfrm>
          <a:off x="11082655" y="10259695"/>
          <a:ext cx="7626350" cy="3492500"/>
        </a:xfrm>
        <a:prstGeom prst="rect">
          <a:avLst/>
        </a:prstGeom>
      </xdr:spPr>
    </xdr:pic>
    <xdr:clientData/>
  </xdr:twoCellAnchor>
  <xdr:twoCellAnchor editAs="oneCell">
    <xdr:from>
      <xdr:col>3</xdr:col>
      <xdr:colOff>741680</xdr:colOff>
      <xdr:row>66</xdr:row>
      <xdr:rowOff>121920</xdr:rowOff>
    </xdr:from>
    <xdr:to>
      <xdr:col>12</xdr:col>
      <xdr:colOff>507365</xdr:colOff>
      <xdr:row>80</xdr:row>
      <xdr:rowOff>21590</xdr:rowOff>
    </xdr:to>
    <xdr:pic>
      <xdr:nvPicPr>
        <xdr:cNvPr id="10" name="Picture 9" descr="Screenshot from 2021-06-09 09-17-56"/>
        <xdr:cNvPicPr>
          <a:picLocks noChangeAspect="true"/>
        </xdr:cNvPicPr>
      </xdr:nvPicPr>
      <xdr:blipFill>
        <a:blip r:embed="rId8"/>
        <a:stretch>
          <a:fillRect/>
        </a:stretch>
      </xdr:blipFill>
      <xdr:spPr>
        <a:xfrm>
          <a:off x="4215765" y="13323570"/>
          <a:ext cx="7309485" cy="2700020"/>
        </a:xfrm>
        <a:prstGeom prst="rect">
          <a:avLst/>
        </a:prstGeom>
      </xdr:spPr>
    </xdr:pic>
    <xdr:clientData/>
  </xdr:twoCellAnchor>
  <xdr:twoCellAnchor editAs="oneCell">
    <xdr:from>
      <xdr:col>0</xdr:col>
      <xdr:colOff>635</xdr:colOff>
      <xdr:row>47</xdr:row>
      <xdr:rowOff>121285</xdr:rowOff>
    </xdr:from>
    <xdr:to>
      <xdr:col>3</xdr:col>
      <xdr:colOff>650875</xdr:colOff>
      <xdr:row>73</xdr:row>
      <xdr:rowOff>64135</xdr:rowOff>
    </xdr:to>
    <xdr:pic>
      <xdr:nvPicPr>
        <xdr:cNvPr id="11" name="Picture 10" descr="Screenshot from 2021-06-09 09-18-10"/>
        <xdr:cNvPicPr>
          <a:picLocks noChangeAspect="true"/>
        </xdr:cNvPicPr>
      </xdr:nvPicPr>
      <xdr:blipFill>
        <a:blip r:embed="rId9"/>
        <a:stretch>
          <a:fillRect/>
        </a:stretch>
      </xdr:blipFill>
      <xdr:spPr>
        <a:xfrm>
          <a:off x="635" y="9522460"/>
          <a:ext cx="4124325" cy="5143500"/>
        </a:xfrm>
        <a:prstGeom prst="rect">
          <a:avLst/>
        </a:prstGeom>
      </xdr:spPr>
    </xdr:pic>
    <xdr:clientData/>
  </xdr:twoCellAnchor>
  <xdr:twoCellAnchor editAs="oneCell">
    <xdr:from>
      <xdr:col>3</xdr:col>
      <xdr:colOff>622300</xdr:colOff>
      <xdr:row>0</xdr:row>
      <xdr:rowOff>145415</xdr:rowOff>
    </xdr:from>
    <xdr:to>
      <xdr:col>11</xdr:col>
      <xdr:colOff>7620</xdr:colOff>
      <xdr:row>12</xdr:row>
      <xdr:rowOff>117475</xdr:rowOff>
    </xdr:to>
    <xdr:pic>
      <xdr:nvPicPr>
        <xdr:cNvPr id="12" name="Picture 11" descr="Screenshot from 2021-06-09 09-26-09"/>
        <xdr:cNvPicPr>
          <a:picLocks noChangeAspect="true"/>
        </xdr:cNvPicPr>
      </xdr:nvPicPr>
      <xdr:blipFill>
        <a:blip r:embed="rId10"/>
        <a:stretch>
          <a:fillRect/>
        </a:stretch>
      </xdr:blipFill>
      <xdr:spPr>
        <a:xfrm>
          <a:off x="4096385" y="145415"/>
          <a:ext cx="6090920" cy="2372360"/>
        </a:xfrm>
        <a:prstGeom prst="rect">
          <a:avLst/>
        </a:prstGeom>
      </xdr:spPr>
    </xdr:pic>
    <xdr:clientData/>
  </xdr:twoCellAnchor>
</xdr:wsDr>
</file>

<file path=xl/drawings/drawing1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165735</xdr:colOff>
      <xdr:row>12</xdr:row>
      <xdr:rowOff>126365</xdr:rowOff>
    </xdr:from>
    <xdr:to>
      <xdr:col>10</xdr:col>
      <xdr:colOff>74295</xdr:colOff>
      <xdr:row>37</xdr:row>
      <xdr:rowOff>130810</xdr:rowOff>
    </xdr:to>
    <xdr:pic>
      <xdr:nvPicPr>
        <xdr:cNvPr id="22" name="Picture 21" descr="Screenshot from 2021-06-09 09-16-21"/>
        <xdr:cNvPicPr>
          <a:picLocks noChangeAspect="true"/>
        </xdr:cNvPicPr>
      </xdr:nvPicPr>
      <xdr:blipFill>
        <a:blip r:embed="rId1"/>
        <a:stretch>
          <a:fillRect/>
        </a:stretch>
      </xdr:blipFill>
      <xdr:spPr>
        <a:xfrm>
          <a:off x="3639820" y="2526665"/>
          <a:ext cx="5775960" cy="5005070"/>
        </a:xfrm>
        <a:prstGeom prst="rect">
          <a:avLst/>
        </a:prstGeom>
      </xdr:spPr>
    </xdr:pic>
    <xdr:clientData/>
  </xdr:twoCellAnchor>
  <xdr:twoCellAnchor editAs="oneCell">
    <xdr:from>
      <xdr:col>10</xdr:col>
      <xdr:colOff>275590</xdr:colOff>
      <xdr:row>26</xdr:row>
      <xdr:rowOff>76835</xdr:rowOff>
    </xdr:from>
    <xdr:to>
      <xdr:col>17</xdr:col>
      <xdr:colOff>675005</xdr:colOff>
      <xdr:row>44</xdr:row>
      <xdr:rowOff>129540</xdr:rowOff>
    </xdr:to>
    <xdr:pic>
      <xdr:nvPicPr>
        <xdr:cNvPr id="23" name="Picture 22" descr="Screenshot from 2021-06-09 09-17-06"/>
        <xdr:cNvPicPr>
          <a:picLocks noChangeAspect="true"/>
        </xdr:cNvPicPr>
      </xdr:nvPicPr>
      <xdr:blipFill>
        <a:blip r:embed="rId2"/>
        <a:stretch>
          <a:fillRect/>
        </a:stretch>
      </xdr:blipFill>
      <xdr:spPr>
        <a:xfrm>
          <a:off x="9617075" y="5277485"/>
          <a:ext cx="6266815" cy="3653155"/>
        </a:xfrm>
        <a:prstGeom prst="rect">
          <a:avLst/>
        </a:prstGeom>
      </xdr:spPr>
    </xdr:pic>
    <xdr:clientData/>
  </xdr:twoCellAnchor>
  <xdr:twoCellAnchor editAs="oneCell">
    <xdr:from>
      <xdr:col>19</xdr:col>
      <xdr:colOff>589915</xdr:colOff>
      <xdr:row>6</xdr:row>
      <xdr:rowOff>52705</xdr:rowOff>
    </xdr:from>
    <xdr:to>
      <xdr:col>26</xdr:col>
      <xdr:colOff>635000</xdr:colOff>
      <xdr:row>27</xdr:row>
      <xdr:rowOff>162560</xdr:rowOff>
    </xdr:to>
    <xdr:pic>
      <xdr:nvPicPr>
        <xdr:cNvPr id="25" name="Picture 24" descr="Screenshot from 2021-06-09 09-17-18"/>
        <xdr:cNvPicPr>
          <a:picLocks noChangeAspect="true"/>
        </xdr:cNvPicPr>
      </xdr:nvPicPr>
      <xdr:blipFill>
        <a:blip r:embed="rId3"/>
        <a:stretch>
          <a:fillRect/>
        </a:stretch>
      </xdr:blipFill>
      <xdr:spPr>
        <a:xfrm>
          <a:off x="17475200" y="1252855"/>
          <a:ext cx="5912485" cy="4310380"/>
        </a:xfrm>
        <a:prstGeom prst="rect">
          <a:avLst/>
        </a:prstGeom>
      </xdr:spPr>
    </xdr:pic>
    <xdr:clientData/>
  </xdr:twoCellAnchor>
  <xdr:twoCellAnchor editAs="oneCell">
    <xdr:from>
      <xdr:col>3</xdr:col>
      <xdr:colOff>455295</xdr:colOff>
      <xdr:row>39</xdr:row>
      <xdr:rowOff>187960</xdr:rowOff>
    </xdr:from>
    <xdr:to>
      <xdr:col>10</xdr:col>
      <xdr:colOff>56515</xdr:colOff>
      <xdr:row>54</xdr:row>
      <xdr:rowOff>97155</xdr:rowOff>
    </xdr:to>
    <xdr:pic>
      <xdr:nvPicPr>
        <xdr:cNvPr id="26" name="Picture 25" descr="Screenshot from 2021-06-09 09-17-32"/>
        <xdr:cNvPicPr>
          <a:picLocks noChangeAspect="true"/>
        </xdr:cNvPicPr>
      </xdr:nvPicPr>
      <xdr:blipFill>
        <a:blip r:embed="rId4"/>
        <a:stretch>
          <a:fillRect/>
        </a:stretch>
      </xdr:blipFill>
      <xdr:spPr>
        <a:xfrm>
          <a:off x="3929380" y="7988935"/>
          <a:ext cx="5468620" cy="2909570"/>
        </a:xfrm>
        <a:prstGeom prst="rect">
          <a:avLst/>
        </a:prstGeom>
      </xdr:spPr>
    </xdr:pic>
    <xdr:clientData/>
  </xdr:twoCellAnchor>
  <xdr:twoCellAnchor editAs="oneCell">
    <xdr:from>
      <xdr:col>21</xdr:col>
      <xdr:colOff>264795</xdr:colOff>
      <xdr:row>28</xdr:row>
      <xdr:rowOff>46990</xdr:rowOff>
    </xdr:from>
    <xdr:to>
      <xdr:col>28</xdr:col>
      <xdr:colOff>692785</xdr:colOff>
      <xdr:row>58</xdr:row>
      <xdr:rowOff>180340</xdr:rowOff>
    </xdr:to>
    <xdr:pic>
      <xdr:nvPicPr>
        <xdr:cNvPr id="27" name="Picture 26" descr="Screenshot from 2021-06-09 09-17-37"/>
        <xdr:cNvPicPr>
          <a:picLocks noChangeAspect="true"/>
        </xdr:cNvPicPr>
      </xdr:nvPicPr>
      <xdr:blipFill>
        <a:blip r:embed="rId5"/>
        <a:stretch>
          <a:fillRect/>
        </a:stretch>
      </xdr:blipFill>
      <xdr:spPr>
        <a:xfrm>
          <a:off x="18826480" y="5647690"/>
          <a:ext cx="6295390" cy="6134100"/>
        </a:xfrm>
        <a:prstGeom prst="rect">
          <a:avLst/>
        </a:prstGeom>
      </xdr:spPr>
    </xdr:pic>
    <xdr:clientData/>
  </xdr:twoCellAnchor>
  <xdr:twoCellAnchor editAs="oneCell">
    <xdr:from>
      <xdr:col>10</xdr:col>
      <xdr:colOff>311785</xdr:colOff>
      <xdr:row>45</xdr:row>
      <xdr:rowOff>132715</xdr:rowOff>
    </xdr:from>
    <xdr:to>
      <xdr:col>17</xdr:col>
      <xdr:colOff>109220</xdr:colOff>
      <xdr:row>59</xdr:row>
      <xdr:rowOff>179070</xdr:rowOff>
    </xdr:to>
    <xdr:pic>
      <xdr:nvPicPr>
        <xdr:cNvPr id="28" name="Picture 27" descr="Screenshot from 2021-06-09 09-17-45"/>
        <xdr:cNvPicPr>
          <a:picLocks noChangeAspect="true"/>
        </xdr:cNvPicPr>
      </xdr:nvPicPr>
      <xdr:blipFill>
        <a:blip r:embed="rId6"/>
        <a:stretch>
          <a:fillRect/>
        </a:stretch>
      </xdr:blipFill>
      <xdr:spPr>
        <a:xfrm>
          <a:off x="9653270" y="9133840"/>
          <a:ext cx="5664835" cy="2846705"/>
        </a:xfrm>
        <a:prstGeom prst="rect">
          <a:avLst/>
        </a:prstGeom>
      </xdr:spPr>
    </xdr:pic>
    <xdr:clientData/>
  </xdr:twoCellAnchor>
  <xdr:twoCellAnchor editAs="oneCell">
    <xdr:from>
      <xdr:col>3</xdr:col>
      <xdr:colOff>655955</xdr:colOff>
      <xdr:row>56</xdr:row>
      <xdr:rowOff>7620</xdr:rowOff>
    </xdr:from>
    <xdr:to>
      <xdr:col>10</xdr:col>
      <xdr:colOff>189230</xdr:colOff>
      <xdr:row>67</xdr:row>
      <xdr:rowOff>21590</xdr:rowOff>
    </xdr:to>
    <xdr:pic>
      <xdr:nvPicPr>
        <xdr:cNvPr id="29" name="Picture 28" descr="Screenshot from 2021-06-09 09-17-56"/>
        <xdr:cNvPicPr>
          <a:picLocks noChangeAspect="true"/>
        </xdr:cNvPicPr>
      </xdr:nvPicPr>
      <xdr:blipFill>
        <a:blip r:embed="rId7"/>
        <a:stretch>
          <a:fillRect/>
        </a:stretch>
      </xdr:blipFill>
      <xdr:spPr>
        <a:xfrm>
          <a:off x="4130040" y="11209020"/>
          <a:ext cx="5400675" cy="2214245"/>
        </a:xfrm>
        <a:prstGeom prst="rect">
          <a:avLst/>
        </a:prstGeom>
      </xdr:spPr>
    </xdr:pic>
    <xdr:clientData/>
  </xdr:twoCellAnchor>
  <xdr:twoCellAnchor editAs="oneCell">
    <xdr:from>
      <xdr:col>0</xdr:col>
      <xdr:colOff>635</xdr:colOff>
      <xdr:row>47</xdr:row>
      <xdr:rowOff>121285</xdr:rowOff>
    </xdr:from>
    <xdr:to>
      <xdr:col>3</xdr:col>
      <xdr:colOff>650875</xdr:colOff>
      <xdr:row>73</xdr:row>
      <xdr:rowOff>64135</xdr:rowOff>
    </xdr:to>
    <xdr:pic>
      <xdr:nvPicPr>
        <xdr:cNvPr id="30" name="Picture 29" descr="Screenshot from 2021-06-09 09-18-10"/>
        <xdr:cNvPicPr>
          <a:picLocks noChangeAspect="true"/>
        </xdr:cNvPicPr>
      </xdr:nvPicPr>
      <xdr:blipFill>
        <a:blip r:embed="rId8"/>
        <a:stretch>
          <a:fillRect/>
        </a:stretch>
      </xdr:blipFill>
      <xdr:spPr>
        <a:xfrm>
          <a:off x="635" y="9522460"/>
          <a:ext cx="4124325" cy="5143500"/>
        </a:xfrm>
        <a:prstGeom prst="rect">
          <a:avLst/>
        </a:prstGeom>
      </xdr:spPr>
    </xdr:pic>
    <xdr:clientData/>
  </xdr:twoCellAnchor>
  <xdr:twoCellAnchor editAs="oneCell">
    <xdr:from>
      <xdr:col>3</xdr:col>
      <xdr:colOff>527050</xdr:colOff>
      <xdr:row>2</xdr:row>
      <xdr:rowOff>107315</xdr:rowOff>
    </xdr:from>
    <xdr:to>
      <xdr:col>9</xdr:col>
      <xdr:colOff>122555</xdr:colOff>
      <xdr:row>11</xdr:row>
      <xdr:rowOff>108585</xdr:rowOff>
    </xdr:to>
    <xdr:pic>
      <xdr:nvPicPr>
        <xdr:cNvPr id="31" name="Picture 30" descr="Screenshot from 2021-06-09 09-26-09"/>
        <xdr:cNvPicPr>
          <a:picLocks noChangeAspect="true"/>
        </xdr:cNvPicPr>
      </xdr:nvPicPr>
      <xdr:blipFill>
        <a:blip r:embed="rId9"/>
        <a:stretch>
          <a:fillRect/>
        </a:stretch>
      </xdr:blipFill>
      <xdr:spPr>
        <a:xfrm>
          <a:off x="4001135" y="507365"/>
          <a:ext cx="4624705" cy="1801495"/>
        </a:xfrm>
        <a:prstGeom prst="rect">
          <a:avLst/>
        </a:prstGeom>
      </xdr:spPr>
    </xdr:pic>
    <xdr:clientData/>
  </xdr:twoCellAnchor>
  <xdr:twoCellAnchor editAs="oneCell">
    <xdr:from>
      <xdr:col>9</xdr:col>
      <xdr:colOff>387985</xdr:colOff>
      <xdr:row>1</xdr:row>
      <xdr:rowOff>9525</xdr:rowOff>
    </xdr:from>
    <xdr:to>
      <xdr:col>15</xdr:col>
      <xdr:colOff>533400</xdr:colOff>
      <xdr:row>24</xdr:row>
      <xdr:rowOff>182245</xdr:rowOff>
    </xdr:to>
    <xdr:pic>
      <xdr:nvPicPr>
        <xdr:cNvPr id="32" name="Picture 31" descr="Screenshot from 2021-06-09 09-31-07"/>
        <xdr:cNvPicPr>
          <a:picLocks noChangeAspect="true"/>
        </xdr:cNvPicPr>
      </xdr:nvPicPr>
      <xdr:blipFill>
        <a:blip r:embed="rId10"/>
        <a:stretch>
          <a:fillRect/>
        </a:stretch>
      </xdr:blipFill>
      <xdr:spPr>
        <a:xfrm>
          <a:off x="8891270" y="209550"/>
          <a:ext cx="5174615" cy="4773295"/>
        </a:xfrm>
        <a:prstGeom prst="rect">
          <a:avLst/>
        </a:prstGeom>
      </xdr:spPr>
    </xdr:pic>
    <xdr:clientData/>
  </xdr:twoCellAnchor>
</xdr:wsDr>
</file>

<file path=xl/drawings/drawing14.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325120</xdr:colOff>
      <xdr:row>48</xdr:row>
      <xdr:rowOff>190500</xdr:rowOff>
    </xdr:from>
    <xdr:to>
      <xdr:col>19</xdr:col>
      <xdr:colOff>405130</xdr:colOff>
      <xdr:row>57</xdr:row>
      <xdr:rowOff>89535</xdr:rowOff>
    </xdr:to>
    <xdr:pic>
      <xdr:nvPicPr>
        <xdr:cNvPr id="2" name="Picture 1" descr="Screenshot from 2021-06-18 18-21-34"/>
        <xdr:cNvPicPr>
          <a:picLocks noChangeAspect="true"/>
        </xdr:cNvPicPr>
      </xdr:nvPicPr>
      <xdr:blipFill>
        <a:blip r:embed="rId1"/>
        <a:stretch>
          <a:fillRect/>
        </a:stretch>
      </xdr:blipFill>
      <xdr:spPr>
        <a:xfrm>
          <a:off x="11174095" y="9791700"/>
          <a:ext cx="5947410" cy="1699260"/>
        </a:xfrm>
        <a:prstGeom prst="rect">
          <a:avLst/>
        </a:prstGeom>
      </xdr:spPr>
    </xdr:pic>
    <xdr:clientData/>
  </xdr:twoCellAnchor>
  <xdr:twoCellAnchor editAs="oneCell">
    <xdr:from>
      <xdr:col>5</xdr:col>
      <xdr:colOff>10795</xdr:colOff>
      <xdr:row>20</xdr:row>
      <xdr:rowOff>104775</xdr:rowOff>
    </xdr:from>
    <xdr:to>
      <xdr:col>12</xdr:col>
      <xdr:colOff>120015</xdr:colOff>
      <xdr:row>27</xdr:row>
      <xdr:rowOff>108585</xdr:rowOff>
    </xdr:to>
    <xdr:pic>
      <xdr:nvPicPr>
        <xdr:cNvPr id="3" name="Picture 2" descr="Screenshot from 2021-06-18 18-21-41"/>
        <xdr:cNvPicPr>
          <a:picLocks noChangeAspect="true"/>
        </xdr:cNvPicPr>
      </xdr:nvPicPr>
      <xdr:blipFill>
        <a:blip r:embed="rId2"/>
        <a:stretch>
          <a:fillRect/>
        </a:stretch>
      </xdr:blipFill>
      <xdr:spPr>
        <a:xfrm>
          <a:off x="4992370" y="4105275"/>
          <a:ext cx="5976620" cy="1403985"/>
        </a:xfrm>
        <a:prstGeom prst="rect">
          <a:avLst/>
        </a:prstGeom>
      </xdr:spPr>
    </xdr:pic>
    <xdr:clientData/>
  </xdr:twoCellAnchor>
  <xdr:twoCellAnchor editAs="oneCell">
    <xdr:from>
      <xdr:col>5</xdr:col>
      <xdr:colOff>496570</xdr:colOff>
      <xdr:row>48</xdr:row>
      <xdr:rowOff>142875</xdr:rowOff>
    </xdr:from>
    <xdr:to>
      <xdr:col>12</xdr:col>
      <xdr:colOff>504825</xdr:colOff>
      <xdr:row>77</xdr:row>
      <xdr:rowOff>15875</xdr:rowOff>
    </xdr:to>
    <xdr:pic>
      <xdr:nvPicPr>
        <xdr:cNvPr id="4" name="Picture 3" descr="Screenshot from 2021-06-18 18-21-47"/>
        <xdr:cNvPicPr>
          <a:picLocks noChangeAspect="true"/>
        </xdr:cNvPicPr>
      </xdr:nvPicPr>
      <xdr:blipFill>
        <a:blip r:embed="rId3"/>
        <a:stretch>
          <a:fillRect/>
        </a:stretch>
      </xdr:blipFill>
      <xdr:spPr>
        <a:xfrm>
          <a:off x="5478145" y="9744075"/>
          <a:ext cx="5875655" cy="5673725"/>
        </a:xfrm>
        <a:prstGeom prst="rect">
          <a:avLst/>
        </a:prstGeom>
      </xdr:spPr>
    </xdr:pic>
    <xdr:clientData/>
  </xdr:twoCellAnchor>
  <xdr:twoCellAnchor editAs="oneCell">
    <xdr:from>
      <xdr:col>8</xdr:col>
      <xdr:colOff>344170</xdr:colOff>
      <xdr:row>26</xdr:row>
      <xdr:rowOff>186690</xdr:rowOff>
    </xdr:from>
    <xdr:to>
      <xdr:col>15</xdr:col>
      <xdr:colOff>476885</xdr:colOff>
      <xdr:row>37</xdr:row>
      <xdr:rowOff>37465</xdr:rowOff>
    </xdr:to>
    <xdr:pic>
      <xdr:nvPicPr>
        <xdr:cNvPr id="5" name="Picture 4" descr="Screenshot from 2021-06-18 18-21-53"/>
        <xdr:cNvPicPr>
          <a:picLocks noChangeAspect="true"/>
        </xdr:cNvPicPr>
      </xdr:nvPicPr>
      <xdr:blipFill>
        <a:blip r:embed="rId4"/>
        <a:stretch>
          <a:fillRect/>
        </a:stretch>
      </xdr:blipFill>
      <xdr:spPr>
        <a:xfrm>
          <a:off x="7840345" y="5387340"/>
          <a:ext cx="6000115" cy="2051050"/>
        </a:xfrm>
        <a:prstGeom prst="rect">
          <a:avLst/>
        </a:prstGeom>
      </xdr:spPr>
    </xdr:pic>
    <xdr:clientData/>
  </xdr:twoCellAnchor>
  <xdr:twoCellAnchor editAs="oneCell">
    <xdr:from>
      <xdr:col>12</xdr:col>
      <xdr:colOff>315595</xdr:colOff>
      <xdr:row>37</xdr:row>
      <xdr:rowOff>152400</xdr:rowOff>
    </xdr:from>
    <xdr:to>
      <xdr:col>19</xdr:col>
      <xdr:colOff>582930</xdr:colOff>
      <xdr:row>48</xdr:row>
      <xdr:rowOff>97790</xdr:rowOff>
    </xdr:to>
    <xdr:pic>
      <xdr:nvPicPr>
        <xdr:cNvPr id="6" name="Picture 5" descr="Screenshot from 2021-06-18 18-22-05"/>
        <xdr:cNvPicPr>
          <a:picLocks noChangeAspect="true"/>
        </xdr:cNvPicPr>
      </xdr:nvPicPr>
      <xdr:blipFill>
        <a:blip r:embed="rId5"/>
        <a:stretch>
          <a:fillRect/>
        </a:stretch>
      </xdr:blipFill>
      <xdr:spPr>
        <a:xfrm>
          <a:off x="11164570" y="7553325"/>
          <a:ext cx="6134735" cy="2145665"/>
        </a:xfrm>
        <a:prstGeom prst="rect">
          <a:avLst/>
        </a:prstGeom>
      </xdr:spPr>
    </xdr:pic>
    <xdr:clientData/>
  </xdr:twoCellAnchor>
  <xdr:twoCellAnchor editAs="oneCell">
    <xdr:from>
      <xdr:col>4</xdr:col>
      <xdr:colOff>210820</xdr:colOff>
      <xdr:row>35</xdr:row>
      <xdr:rowOff>124460</xdr:rowOff>
    </xdr:from>
    <xdr:to>
      <xdr:col>12</xdr:col>
      <xdr:colOff>115570</xdr:colOff>
      <xdr:row>46</xdr:row>
      <xdr:rowOff>79375</xdr:rowOff>
    </xdr:to>
    <xdr:pic>
      <xdr:nvPicPr>
        <xdr:cNvPr id="7" name="Picture 6" descr="Screenshot from 2021-06-18 18-22-11"/>
        <xdr:cNvPicPr>
          <a:picLocks noChangeAspect="true"/>
        </xdr:cNvPicPr>
      </xdr:nvPicPr>
      <xdr:blipFill>
        <a:blip r:embed="rId6"/>
        <a:stretch>
          <a:fillRect/>
        </a:stretch>
      </xdr:blipFill>
      <xdr:spPr>
        <a:xfrm>
          <a:off x="4354195" y="7125335"/>
          <a:ext cx="6610350" cy="2155190"/>
        </a:xfrm>
        <a:prstGeom prst="rect">
          <a:avLst/>
        </a:prstGeom>
      </xdr:spPr>
    </xdr:pic>
    <xdr:clientData/>
  </xdr:twoCellAnchor>
  <xdr:twoCellAnchor editAs="oneCell">
    <xdr:from>
      <xdr:col>4</xdr:col>
      <xdr:colOff>67945</xdr:colOff>
      <xdr:row>27</xdr:row>
      <xdr:rowOff>95250</xdr:rowOff>
    </xdr:from>
    <xdr:to>
      <xdr:col>8</xdr:col>
      <xdr:colOff>164465</xdr:colOff>
      <xdr:row>35</xdr:row>
      <xdr:rowOff>100965</xdr:rowOff>
    </xdr:to>
    <xdr:pic>
      <xdr:nvPicPr>
        <xdr:cNvPr id="8" name="Picture 7" descr="Screenshot from 2021-06-18 18-22-25"/>
        <xdr:cNvPicPr>
          <a:picLocks noChangeAspect="true"/>
        </xdr:cNvPicPr>
      </xdr:nvPicPr>
      <xdr:blipFill>
        <a:blip r:embed="rId7"/>
        <a:stretch>
          <a:fillRect/>
        </a:stretch>
      </xdr:blipFill>
      <xdr:spPr>
        <a:xfrm>
          <a:off x="4211320" y="5495925"/>
          <a:ext cx="3449320" cy="1605915"/>
        </a:xfrm>
        <a:prstGeom prst="rect">
          <a:avLst/>
        </a:prstGeom>
      </xdr:spPr>
    </xdr:pic>
    <xdr:clientData/>
  </xdr:twoCellAnchor>
  <xdr:twoCellAnchor editAs="oneCell">
    <xdr:from>
      <xdr:col>4</xdr:col>
      <xdr:colOff>487045</xdr:colOff>
      <xdr:row>0</xdr:row>
      <xdr:rowOff>635</xdr:rowOff>
    </xdr:from>
    <xdr:to>
      <xdr:col>12</xdr:col>
      <xdr:colOff>448945</xdr:colOff>
      <xdr:row>18</xdr:row>
      <xdr:rowOff>131445</xdr:rowOff>
    </xdr:to>
    <xdr:pic>
      <xdr:nvPicPr>
        <xdr:cNvPr id="9" name="Picture 8" descr="Screenshot from 2021-06-18 18-22-31"/>
        <xdr:cNvPicPr>
          <a:picLocks noChangeAspect="true"/>
        </xdr:cNvPicPr>
      </xdr:nvPicPr>
      <xdr:blipFill>
        <a:blip r:embed="rId8"/>
        <a:stretch>
          <a:fillRect/>
        </a:stretch>
      </xdr:blipFill>
      <xdr:spPr>
        <a:xfrm>
          <a:off x="4630420" y="635"/>
          <a:ext cx="6667500" cy="3731260"/>
        </a:xfrm>
        <a:prstGeom prst="rect">
          <a:avLst/>
        </a:prstGeom>
      </xdr:spPr>
    </xdr:pic>
    <xdr:clientData/>
  </xdr:twoCellAnchor>
  <xdr:twoCellAnchor editAs="oneCell">
    <xdr:from>
      <xdr:col>0</xdr:col>
      <xdr:colOff>635</xdr:colOff>
      <xdr:row>47</xdr:row>
      <xdr:rowOff>19050</xdr:rowOff>
    </xdr:from>
    <xdr:to>
      <xdr:col>6</xdr:col>
      <xdr:colOff>257810</xdr:colOff>
      <xdr:row>77</xdr:row>
      <xdr:rowOff>116840</xdr:rowOff>
    </xdr:to>
    <xdr:pic>
      <xdr:nvPicPr>
        <xdr:cNvPr id="10" name="Picture 9" descr="Screenshot from 2021-06-18 18-22-48"/>
        <xdr:cNvPicPr>
          <a:picLocks noChangeAspect="true"/>
        </xdr:cNvPicPr>
      </xdr:nvPicPr>
      <xdr:blipFill>
        <a:blip r:embed="rId9"/>
        <a:stretch>
          <a:fillRect/>
        </a:stretch>
      </xdr:blipFill>
      <xdr:spPr>
        <a:xfrm>
          <a:off x="635" y="9420225"/>
          <a:ext cx="6076950" cy="6098540"/>
        </a:xfrm>
        <a:prstGeom prst="rect">
          <a:avLst/>
        </a:prstGeom>
      </xdr:spPr>
    </xdr:pic>
    <xdr:clientData/>
  </xdr:twoCellAnchor>
</xdr:wsDr>
</file>

<file path=xl/drawings/drawing15.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440690</xdr:colOff>
      <xdr:row>2</xdr:row>
      <xdr:rowOff>57150</xdr:rowOff>
    </xdr:from>
    <xdr:to>
      <xdr:col>10</xdr:col>
      <xdr:colOff>114300</xdr:colOff>
      <xdr:row>9</xdr:row>
      <xdr:rowOff>0</xdr:rowOff>
    </xdr:to>
    <xdr:pic>
      <xdr:nvPicPr>
        <xdr:cNvPr id="2" name="Picture 1" descr="Screenshot from 2021-06-09 09-33-05"/>
        <xdr:cNvPicPr>
          <a:picLocks noChangeAspect="true"/>
        </xdr:cNvPicPr>
      </xdr:nvPicPr>
      <xdr:blipFill>
        <a:blip r:embed="rId1"/>
        <a:stretch>
          <a:fillRect/>
        </a:stretch>
      </xdr:blipFill>
      <xdr:spPr>
        <a:xfrm>
          <a:off x="3917315" y="457200"/>
          <a:ext cx="5541010" cy="1343025"/>
        </a:xfrm>
        <a:prstGeom prst="rect">
          <a:avLst/>
        </a:prstGeom>
      </xdr:spPr>
    </xdr:pic>
    <xdr:clientData/>
  </xdr:twoCellAnchor>
  <xdr:twoCellAnchor editAs="oneCell">
    <xdr:from>
      <xdr:col>10</xdr:col>
      <xdr:colOff>438150</xdr:colOff>
      <xdr:row>2</xdr:row>
      <xdr:rowOff>111760</xdr:rowOff>
    </xdr:from>
    <xdr:to>
      <xdr:col>19</xdr:col>
      <xdr:colOff>828675</xdr:colOff>
      <xdr:row>24</xdr:row>
      <xdr:rowOff>76835</xdr:rowOff>
    </xdr:to>
    <xdr:pic>
      <xdr:nvPicPr>
        <xdr:cNvPr id="3" name="Picture 2" descr="Screenshot from 2021-06-09 09-33-13"/>
        <xdr:cNvPicPr>
          <a:picLocks noChangeAspect="true"/>
        </xdr:cNvPicPr>
      </xdr:nvPicPr>
      <xdr:blipFill>
        <a:blip r:embed="rId2"/>
        <a:stretch>
          <a:fillRect/>
        </a:stretch>
      </xdr:blipFill>
      <xdr:spPr>
        <a:xfrm>
          <a:off x="9782175" y="511810"/>
          <a:ext cx="7934325" cy="4365625"/>
        </a:xfrm>
        <a:prstGeom prst="rect">
          <a:avLst/>
        </a:prstGeom>
      </xdr:spPr>
    </xdr:pic>
    <xdr:clientData/>
  </xdr:twoCellAnchor>
  <xdr:twoCellAnchor editAs="oneCell">
    <xdr:from>
      <xdr:col>12</xdr:col>
      <xdr:colOff>816610</xdr:colOff>
      <xdr:row>24</xdr:row>
      <xdr:rowOff>85725</xdr:rowOff>
    </xdr:from>
    <xdr:to>
      <xdr:col>19</xdr:col>
      <xdr:colOff>38100</xdr:colOff>
      <xdr:row>48</xdr:row>
      <xdr:rowOff>142875</xdr:rowOff>
    </xdr:to>
    <xdr:pic>
      <xdr:nvPicPr>
        <xdr:cNvPr id="4" name="Picture 3" descr="Screenshot from 2021-06-09 09-33-20"/>
        <xdr:cNvPicPr>
          <a:picLocks noChangeAspect="true"/>
        </xdr:cNvPicPr>
      </xdr:nvPicPr>
      <xdr:blipFill>
        <a:blip r:embed="rId3"/>
        <a:stretch>
          <a:fillRect/>
        </a:stretch>
      </xdr:blipFill>
      <xdr:spPr>
        <a:xfrm>
          <a:off x="11837035" y="4886325"/>
          <a:ext cx="5088890" cy="4857750"/>
        </a:xfrm>
        <a:prstGeom prst="rect">
          <a:avLst/>
        </a:prstGeom>
      </xdr:spPr>
    </xdr:pic>
    <xdr:clientData/>
  </xdr:twoCellAnchor>
  <xdr:twoCellAnchor editAs="oneCell">
    <xdr:from>
      <xdr:col>4</xdr:col>
      <xdr:colOff>695325</xdr:colOff>
      <xdr:row>18</xdr:row>
      <xdr:rowOff>115570</xdr:rowOff>
    </xdr:from>
    <xdr:to>
      <xdr:col>10</xdr:col>
      <xdr:colOff>247650</xdr:colOff>
      <xdr:row>27</xdr:row>
      <xdr:rowOff>114300</xdr:rowOff>
    </xdr:to>
    <xdr:pic>
      <xdr:nvPicPr>
        <xdr:cNvPr id="5" name="Picture 4" descr="Screenshot from 2021-06-09 09-33-31"/>
        <xdr:cNvPicPr>
          <a:picLocks noChangeAspect="true"/>
        </xdr:cNvPicPr>
      </xdr:nvPicPr>
      <xdr:blipFill>
        <a:blip r:embed="rId4"/>
        <a:stretch>
          <a:fillRect/>
        </a:stretch>
      </xdr:blipFill>
      <xdr:spPr>
        <a:xfrm>
          <a:off x="5010150" y="3716020"/>
          <a:ext cx="4581525" cy="1798955"/>
        </a:xfrm>
        <a:prstGeom prst="rect">
          <a:avLst/>
        </a:prstGeom>
      </xdr:spPr>
    </xdr:pic>
    <xdr:clientData/>
  </xdr:twoCellAnchor>
  <xdr:twoCellAnchor editAs="oneCell">
    <xdr:from>
      <xdr:col>3</xdr:col>
      <xdr:colOff>657225</xdr:colOff>
      <xdr:row>29</xdr:row>
      <xdr:rowOff>73025</xdr:rowOff>
    </xdr:from>
    <xdr:to>
      <xdr:col>12</xdr:col>
      <xdr:colOff>514985</xdr:colOff>
      <xdr:row>41</xdr:row>
      <xdr:rowOff>130810</xdr:rowOff>
    </xdr:to>
    <xdr:pic>
      <xdr:nvPicPr>
        <xdr:cNvPr id="6" name="Picture 5" descr="Screenshot from 2021-06-09 09-33-36"/>
        <xdr:cNvPicPr>
          <a:picLocks noChangeAspect="true"/>
        </xdr:cNvPicPr>
      </xdr:nvPicPr>
      <xdr:blipFill>
        <a:blip r:embed="rId5"/>
        <a:stretch>
          <a:fillRect/>
        </a:stretch>
      </xdr:blipFill>
      <xdr:spPr>
        <a:xfrm>
          <a:off x="4133850" y="5873750"/>
          <a:ext cx="7401560" cy="2458085"/>
        </a:xfrm>
        <a:prstGeom prst="rect">
          <a:avLst/>
        </a:prstGeom>
      </xdr:spPr>
    </xdr:pic>
    <xdr:clientData/>
  </xdr:twoCellAnchor>
  <xdr:twoCellAnchor editAs="oneCell">
    <xdr:from>
      <xdr:col>6</xdr:col>
      <xdr:colOff>152400</xdr:colOff>
      <xdr:row>9</xdr:row>
      <xdr:rowOff>84455</xdr:rowOff>
    </xdr:from>
    <xdr:to>
      <xdr:col>10</xdr:col>
      <xdr:colOff>382270</xdr:colOff>
      <xdr:row>19</xdr:row>
      <xdr:rowOff>9525</xdr:rowOff>
    </xdr:to>
    <xdr:pic>
      <xdr:nvPicPr>
        <xdr:cNvPr id="7" name="Picture 6" descr="Screenshot from 2021-06-09 09-33-42"/>
        <xdr:cNvPicPr>
          <a:picLocks noChangeAspect="true"/>
        </xdr:cNvPicPr>
      </xdr:nvPicPr>
      <xdr:blipFill>
        <a:blip r:embed="rId6"/>
        <a:stretch>
          <a:fillRect/>
        </a:stretch>
      </xdr:blipFill>
      <xdr:spPr>
        <a:xfrm>
          <a:off x="6143625" y="1884680"/>
          <a:ext cx="3582670" cy="1925320"/>
        </a:xfrm>
        <a:prstGeom prst="rect">
          <a:avLst/>
        </a:prstGeom>
      </xdr:spPr>
    </xdr:pic>
    <xdr:clientData/>
  </xdr:twoCellAnchor>
  <xdr:twoCellAnchor editAs="oneCell">
    <xdr:from>
      <xdr:col>6</xdr:col>
      <xdr:colOff>161925</xdr:colOff>
      <xdr:row>54</xdr:row>
      <xdr:rowOff>5715</xdr:rowOff>
    </xdr:from>
    <xdr:to>
      <xdr:col>12</xdr:col>
      <xdr:colOff>342900</xdr:colOff>
      <xdr:row>70</xdr:row>
      <xdr:rowOff>24765</xdr:rowOff>
    </xdr:to>
    <xdr:pic>
      <xdr:nvPicPr>
        <xdr:cNvPr id="8" name="Picture 7" descr="Screenshot from 2021-06-09 09-33-49"/>
        <xdr:cNvPicPr>
          <a:picLocks noChangeAspect="true"/>
        </xdr:cNvPicPr>
      </xdr:nvPicPr>
      <xdr:blipFill>
        <a:blip r:embed="rId7"/>
        <a:stretch>
          <a:fillRect/>
        </a:stretch>
      </xdr:blipFill>
      <xdr:spPr>
        <a:xfrm>
          <a:off x="6153150" y="10807065"/>
          <a:ext cx="5210175" cy="3219450"/>
        </a:xfrm>
        <a:prstGeom prst="rect">
          <a:avLst/>
        </a:prstGeom>
      </xdr:spPr>
    </xdr:pic>
    <xdr:clientData/>
  </xdr:twoCellAnchor>
  <xdr:twoCellAnchor editAs="oneCell">
    <xdr:from>
      <xdr:col>6</xdr:col>
      <xdr:colOff>552450</xdr:colOff>
      <xdr:row>42</xdr:row>
      <xdr:rowOff>123190</xdr:rowOff>
    </xdr:from>
    <xdr:to>
      <xdr:col>11</xdr:col>
      <xdr:colOff>133350</xdr:colOff>
      <xdr:row>53</xdr:row>
      <xdr:rowOff>171450</xdr:rowOff>
    </xdr:to>
    <xdr:pic>
      <xdr:nvPicPr>
        <xdr:cNvPr id="9" name="Picture 8" descr="Screenshot from 2021-06-09 09-33-54"/>
        <xdr:cNvPicPr>
          <a:picLocks noChangeAspect="true"/>
        </xdr:cNvPicPr>
      </xdr:nvPicPr>
      <xdr:blipFill>
        <a:blip r:embed="rId8"/>
        <a:stretch>
          <a:fillRect/>
        </a:stretch>
      </xdr:blipFill>
      <xdr:spPr>
        <a:xfrm>
          <a:off x="6543675" y="8524240"/>
          <a:ext cx="3771900" cy="2248535"/>
        </a:xfrm>
        <a:prstGeom prst="rect">
          <a:avLst/>
        </a:prstGeom>
      </xdr:spPr>
    </xdr:pic>
    <xdr:clientData/>
  </xdr:twoCellAnchor>
  <xdr:twoCellAnchor editAs="oneCell">
    <xdr:from>
      <xdr:col>0</xdr:col>
      <xdr:colOff>635</xdr:colOff>
      <xdr:row>46</xdr:row>
      <xdr:rowOff>142875</xdr:rowOff>
    </xdr:from>
    <xdr:to>
      <xdr:col>5</xdr:col>
      <xdr:colOff>539115</xdr:colOff>
      <xdr:row>69</xdr:row>
      <xdr:rowOff>57150</xdr:rowOff>
    </xdr:to>
    <xdr:pic>
      <xdr:nvPicPr>
        <xdr:cNvPr id="10" name="Picture 9" descr="Screenshot from 2021-06-09 09-34-06"/>
        <xdr:cNvPicPr>
          <a:picLocks noChangeAspect="true"/>
        </xdr:cNvPicPr>
      </xdr:nvPicPr>
      <xdr:blipFill>
        <a:blip r:embed="rId9"/>
        <a:stretch>
          <a:fillRect/>
        </a:stretch>
      </xdr:blipFill>
      <xdr:spPr>
        <a:xfrm>
          <a:off x="635" y="9344025"/>
          <a:ext cx="5691505" cy="4514850"/>
        </a:xfrm>
        <a:prstGeom prst="rect">
          <a:avLst/>
        </a:prstGeom>
      </xdr:spPr>
    </xdr:pic>
    <xdr:clientData/>
  </xdr:twoCellAnchor>
</xdr:wsDr>
</file>

<file path=xl/drawings/drawing16.xml><?xml version="1.0" encoding="utf-8"?>
<xdr:wsDr xmlns:xdr="http://schemas.openxmlformats.org/drawingml/2006/spreadsheetDrawing" xmlns:r="http://schemas.openxmlformats.org/officeDocument/2006/relationships" xmlns:a="http://schemas.openxmlformats.org/drawingml/2006/main">
  <xdr:twoCellAnchor editAs="oneCell">
    <xdr:from>
      <xdr:col>16</xdr:col>
      <xdr:colOff>17780</xdr:colOff>
      <xdr:row>7</xdr:row>
      <xdr:rowOff>86360</xdr:rowOff>
    </xdr:from>
    <xdr:to>
      <xdr:col>20</xdr:col>
      <xdr:colOff>786765</xdr:colOff>
      <xdr:row>27</xdr:row>
      <xdr:rowOff>83820</xdr:rowOff>
    </xdr:to>
    <xdr:pic>
      <xdr:nvPicPr>
        <xdr:cNvPr id="16" name="Picture 15" descr="Screenshot from 2021-06-09 09-44-24"/>
        <xdr:cNvPicPr>
          <a:picLocks noChangeAspect="true"/>
        </xdr:cNvPicPr>
      </xdr:nvPicPr>
      <xdr:blipFill>
        <a:blip r:embed="rId1"/>
        <a:stretch>
          <a:fillRect/>
        </a:stretch>
      </xdr:blipFill>
      <xdr:spPr>
        <a:xfrm>
          <a:off x="14219555" y="1486535"/>
          <a:ext cx="4121785" cy="3997960"/>
        </a:xfrm>
        <a:prstGeom prst="rect">
          <a:avLst/>
        </a:prstGeom>
      </xdr:spPr>
    </xdr:pic>
    <xdr:clientData/>
  </xdr:twoCellAnchor>
  <xdr:twoCellAnchor editAs="oneCell">
    <xdr:from>
      <xdr:col>16</xdr:col>
      <xdr:colOff>8255</xdr:colOff>
      <xdr:row>28</xdr:row>
      <xdr:rowOff>196215</xdr:rowOff>
    </xdr:from>
    <xdr:to>
      <xdr:col>20</xdr:col>
      <xdr:colOff>782320</xdr:colOff>
      <xdr:row>38</xdr:row>
      <xdr:rowOff>134620</xdr:rowOff>
    </xdr:to>
    <xdr:pic>
      <xdr:nvPicPr>
        <xdr:cNvPr id="17" name="Picture 16" descr="Screenshot from 2021-06-09 09-44-36"/>
        <xdr:cNvPicPr>
          <a:picLocks noChangeAspect="true"/>
        </xdr:cNvPicPr>
      </xdr:nvPicPr>
      <xdr:blipFill>
        <a:blip r:embed="rId2"/>
        <a:stretch>
          <a:fillRect/>
        </a:stretch>
      </xdr:blipFill>
      <xdr:spPr>
        <a:xfrm>
          <a:off x="14210030" y="5796915"/>
          <a:ext cx="4126865" cy="1938655"/>
        </a:xfrm>
        <a:prstGeom prst="rect">
          <a:avLst/>
        </a:prstGeom>
      </xdr:spPr>
    </xdr:pic>
    <xdr:clientData/>
  </xdr:twoCellAnchor>
  <xdr:twoCellAnchor editAs="oneCell">
    <xdr:from>
      <xdr:col>4</xdr:col>
      <xdr:colOff>342265</xdr:colOff>
      <xdr:row>1</xdr:row>
      <xdr:rowOff>45720</xdr:rowOff>
    </xdr:from>
    <xdr:to>
      <xdr:col>14</xdr:col>
      <xdr:colOff>290195</xdr:colOff>
      <xdr:row>25</xdr:row>
      <xdr:rowOff>134620</xdr:rowOff>
    </xdr:to>
    <xdr:pic>
      <xdr:nvPicPr>
        <xdr:cNvPr id="18" name="Picture 17" descr="Screenshot from 2021-06-09 09-44-55"/>
        <xdr:cNvPicPr>
          <a:picLocks noChangeAspect="true"/>
        </xdr:cNvPicPr>
      </xdr:nvPicPr>
      <xdr:blipFill>
        <a:blip r:embed="rId3"/>
        <a:stretch>
          <a:fillRect/>
        </a:stretch>
      </xdr:blipFill>
      <xdr:spPr>
        <a:xfrm>
          <a:off x="4485640" y="245745"/>
          <a:ext cx="8329930" cy="4889500"/>
        </a:xfrm>
        <a:prstGeom prst="rect">
          <a:avLst/>
        </a:prstGeom>
      </xdr:spPr>
    </xdr:pic>
    <xdr:clientData/>
  </xdr:twoCellAnchor>
  <xdr:twoCellAnchor editAs="oneCell">
    <xdr:from>
      <xdr:col>3</xdr:col>
      <xdr:colOff>506730</xdr:colOff>
      <xdr:row>25</xdr:row>
      <xdr:rowOff>196215</xdr:rowOff>
    </xdr:from>
    <xdr:to>
      <xdr:col>15</xdr:col>
      <xdr:colOff>506730</xdr:colOff>
      <xdr:row>45</xdr:row>
      <xdr:rowOff>9525</xdr:rowOff>
    </xdr:to>
    <xdr:pic>
      <xdr:nvPicPr>
        <xdr:cNvPr id="19" name="Picture 18" descr="Screenshot from 2021-06-09 09-45-01"/>
        <xdr:cNvPicPr>
          <a:picLocks noChangeAspect="true"/>
        </xdr:cNvPicPr>
      </xdr:nvPicPr>
      <xdr:blipFill>
        <a:blip r:embed="rId4"/>
        <a:stretch>
          <a:fillRect/>
        </a:stretch>
      </xdr:blipFill>
      <xdr:spPr>
        <a:xfrm>
          <a:off x="3811905" y="5196840"/>
          <a:ext cx="10058400" cy="3813810"/>
        </a:xfrm>
        <a:prstGeom prst="rect">
          <a:avLst/>
        </a:prstGeom>
      </xdr:spPr>
    </xdr:pic>
    <xdr:clientData/>
  </xdr:twoCellAnchor>
  <xdr:twoCellAnchor editAs="oneCell">
    <xdr:from>
      <xdr:col>16</xdr:col>
      <xdr:colOff>222250</xdr:colOff>
      <xdr:row>43</xdr:row>
      <xdr:rowOff>59690</xdr:rowOff>
    </xdr:from>
    <xdr:to>
      <xdr:col>25</xdr:col>
      <xdr:colOff>345440</xdr:colOff>
      <xdr:row>72</xdr:row>
      <xdr:rowOff>133985</xdr:rowOff>
    </xdr:to>
    <xdr:pic>
      <xdr:nvPicPr>
        <xdr:cNvPr id="20" name="Picture 19" descr="Screenshot from 2021-06-09 09-45-18"/>
        <xdr:cNvPicPr>
          <a:picLocks noChangeAspect="true"/>
        </xdr:cNvPicPr>
      </xdr:nvPicPr>
      <xdr:blipFill>
        <a:blip r:embed="rId5"/>
        <a:stretch>
          <a:fillRect/>
        </a:stretch>
      </xdr:blipFill>
      <xdr:spPr>
        <a:xfrm>
          <a:off x="14424025" y="8660765"/>
          <a:ext cx="7666990" cy="5875020"/>
        </a:xfrm>
        <a:prstGeom prst="rect">
          <a:avLst/>
        </a:prstGeom>
      </xdr:spPr>
    </xdr:pic>
    <xdr:clientData/>
  </xdr:twoCellAnchor>
  <xdr:twoCellAnchor editAs="oneCell">
    <xdr:from>
      <xdr:col>8</xdr:col>
      <xdr:colOff>289560</xdr:colOff>
      <xdr:row>46</xdr:row>
      <xdr:rowOff>141605</xdr:rowOff>
    </xdr:from>
    <xdr:to>
      <xdr:col>15</xdr:col>
      <xdr:colOff>692150</xdr:colOff>
      <xdr:row>67</xdr:row>
      <xdr:rowOff>51435</xdr:rowOff>
    </xdr:to>
    <xdr:pic>
      <xdr:nvPicPr>
        <xdr:cNvPr id="21" name="Picture 20" descr="Screenshot from 2021-06-09 09-45-26"/>
        <xdr:cNvPicPr>
          <a:picLocks noChangeAspect="true"/>
        </xdr:cNvPicPr>
      </xdr:nvPicPr>
      <xdr:blipFill>
        <a:blip r:embed="rId6"/>
        <a:stretch>
          <a:fillRect/>
        </a:stretch>
      </xdr:blipFill>
      <xdr:spPr>
        <a:xfrm>
          <a:off x="7785735" y="9342755"/>
          <a:ext cx="6269990" cy="4110355"/>
        </a:xfrm>
        <a:prstGeom prst="rect">
          <a:avLst/>
        </a:prstGeom>
      </xdr:spPr>
    </xdr:pic>
    <xdr:clientData/>
  </xdr:twoCellAnchor>
  <xdr:twoCellAnchor editAs="oneCell">
    <xdr:from>
      <xdr:col>0</xdr:col>
      <xdr:colOff>248920</xdr:colOff>
      <xdr:row>49</xdr:row>
      <xdr:rowOff>128270</xdr:rowOff>
    </xdr:from>
    <xdr:to>
      <xdr:col>7</xdr:col>
      <xdr:colOff>109220</xdr:colOff>
      <xdr:row>63</xdr:row>
      <xdr:rowOff>133985</xdr:rowOff>
    </xdr:to>
    <xdr:pic>
      <xdr:nvPicPr>
        <xdr:cNvPr id="22" name="Picture 21" descr="Screenshot from 2021-06-09 09-45-39"/>
        <xdr:cNvPicPr>
          <a:picLocks noChangeAspect="true"/>
        </xdr:cNvPicPr>
      </xdr:nvPicPr>
      <xdr:blipFill>
        <a:blip r:embed="rId7"/>
        <a:stretch>
          <a:fillRect/>
        </a:stretch>
      </xdr:blipFill>
      <xdr:spPr>
        <a:xfrm>
          <a:off x="248920" y="9929495"/>
          <a:ext cx="6518275" cy="2806065"/>
        </a:xfrm>
        <a:prstGeom prst="rect">
          <a:avLst/>
        </a:prstGeom>
      </xdr:spPr>
    </xdr:pic>
    <xdr:clientData/>
  </xdr:twoCellAnchor>
  <xdr:twoCellAnchor editAs="oneCell">
    <xdr:from>
      <xdr:col>3</xdr:col>
      <xdr:colOff>52705</xdr:colOff>
      <xdr:row>45</xdr:row>
      <xdr:rowOff>54610</xdr:rowOff>
    </xdr:from>
    <xdr:to>
      <xdr:col>7</xdr:col>
      <xdr:colOff>766445</xdr:colOff>
      <xdr:row>49</xdr:row>
      <xdr:rowOff>117475</xdr:rowOff>
    </xdr:to>
    <xdr:pic>
      <xdr:nvPicPr>
        <xdr:cNvPr id="23" name="Picture 22" descr="Screenshot from 2021-06-09 09-54-55"/>
        <xdr:cNvPicPr>
          <a:picLocks noChangeAspect="true"/>
        </xdr:cNvPicPr>
      </xdr:nvPicPr>
      <xdr:blipFill>
        <a:blip r:embed="rId8"/>
        <a:stretch>
          <a:fillRect/>
        </a:stretch>
      </xdr:blipFill>
      <xdr:spPr>
        <a:xfrm>
          <a:off x="3357880" y="9055735"/>
          <a:ext cx="4066540" cy="862965"/>
        </a:xfrm>
        <a:prstGeom prst="rect">
          <a:avLst/>
        </a:prstGeom>
      </xdr:spPr>
    </xdr:pic>
    <xdr:clientData/>
  </xdr:twoCellAnchor>
</xdr:wsDr>
</file>

<file path=xl/drawings/drawing17.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127000</xdr:colOff>
      <xdr:row>24</xdr:row>
      <xdr:rowOff>73025</xdr:rowOff>
    </xdr:from>
    <xdr:to>
      <xdr:col>22</xdr:col>
      <xdr:colOff>127000</xdr:colOff>
      <xdr:row>41</xdr:row>
      <xdr:rowOff>32385</xdr:rowOff>
    </xdr:to>
    <xdr:pic>
      <xdr:nvPicPr>
        <xdr:cNvPr id="2" name="Picture 1" descr="Screenshot from 2021-06-09 14-09-39"/>
        <xdr:cNvPicPr>
          <a:picLocks noChangeAspect="true"/>
        </xdr:cNvPicPr>
      </xdr:nvPicPr>
      <xdr:blipFill>
        <a:blip r:embed="rId1"/>
        <a:stretch>
          <a:fillRect/>
        </a:stretch>
      </xdr:blipFill>
      <xdr:spPr>
        <a:xfrm>
          <a:off x="9299575" y="4873625"/>
          <a:ext cx="10058400" cy="3359785"/>
        </a:xfrm>
        <a:prstGeom prst="rect">
          <a:avLst/>
        </a:prstGeom>
      </xdr:spPr>
    </xdr:pic>
    <xdr:clientData/>
  </xdr:twoCellAnchor>
  <xdr:twoCellAnchor editAs="oneCell">
    <xdr:from>
      <xdr:col>3</xdr:col>
      <xdr:colOff>124460</xdr:colOff>
      <xdr:row>23</xdr:row>
      <xdr:rowOff>193675</xdr:rowOff>
    </xdr:from>
    <xdr:to>
      <xdr:col>10</xdr:col>
      <xdr:colOff>269240</xdr:colOff>
      <xdr:row>37</xdr:row>
      <xdr:rowOff>134620</xdr:rowOff>
    </xdr:to>
    <xdr:pic>
      <xdr:nvPicPr>
        <xdr:cNvPr id="3" name="Picture 2" descr="Screenshot from 2021-06-09 14-10-04"/>
        <xdr:cNvPicPr>
          <a:picLocks noChangeAspect="true"/>
        </xdr:cNvPicPr>
      </xdr:nvPicPr>
      <xdr:blipFill>
        <a:blip r:embed="rId2"/>
        <a:stretch>
          <a:fillRect/>
        </a:stretch>
      </xdr:blipFill>
      <xdr:spPr>
        <a:xfrm>
          <a:off x="3429635" y="4794250"/>
          <a:ext cx="6012180" cy="2741295"/>
        </a:xfrm>
        <a:prstGeom prst="rect">
          <a:avLst/>
        </a:prstGeom>
      </xdr:spPr>
    </xdr:pic>
    <xdr:clientData/>
  </xdr:twoCellAnchor>
  <xdr:twoCellAnchor editAs="oneCell">
    <xdr:from>
      <xdr:col>9</xdr:col>
      <xdr:colOff>40005</xdr:colOff>
      <xdr:row>44</xdr:row>
      <xdr:rowOff>58420</xdr:rowOff>
    </xdr:from>
    <xdr:to>
      <xdr:col>15</xdr:col>
      <xdr:colOff>781050</xdr:colOff>
      <xdr:row>60</xdr:row>
      <xdr:rowOff>187325</xdr:rowOff>
    </xdr:to>
    <xdr:pic>
      <xdr:nvPicPr>
        <xdr:cNvPr id="4" name="Picture 3" descr="Screenshot from 2021-06-09 14-10-12"/>
        <xdr:cNvPicPr>
          <a:picLocks noChangeAspect="true"/>
        </xdr:cNvPicPr>
      </xdr:nvPicPr>
      <xdr:blipFill>
        <a:blip r:embed="rId3"/>
        <a:stretch>
          <a:fillRect/>
        </a:stretch>
      </xdr:blipFill>
      <xdr:spPr>
        <a:xfrm>
          <a:off x="8374380" y="8859520"/>
          <a:ext cx="5770245" cy="3329305"/>
        </a:xfrm>
        <a:prstGeom prst="rect">
          <a:avLst/>
        </a:prstGeom>
      </xdr:spPr>
    </xdr:pic>
    <xdr:clientData/>
  </xdr:twoCellAnchor>
  <xdr:twoCellAnchor editAs="oneCell">
    <xdr:from>
      <xdr:col>14</xdr:col>
      <xdr:colOff>7620</xdr:colOff>
      <xdr:row>1</xdr:row>
      <xdr:rowOff>64770</xdr:rowOff>
    </xdr:from>
    <xdr:to>
      <xdr:col>22</xdr:col>
      <xdr:colOff>328930</xdr:colOff>
      <xdr:row>21</xdr:row>
      <xdr:rowOff>77470</xdr:rowOff>
    </xdr:to>
    <xdr:pic>
      <xdr:nvPicPr>
        <xdr:cNvPr id="5" name="Picture 4" descr="Screenshot from 2021-06-09 14-10-20"/>
        <xdr:cNvPicPr>
          <a:picLocks noChangeAspect="true"/>
        </xdr:cNvPicPr>
      </xdr:nvPicPr>
      <xdr:blipFill>
        <a:blip r:embed="rId4"/>
        <a:stretch>
          <a:fillRect/>
        </a:stretch>
      </xdr:blipFill>
      <xdr:spPr>
        <a:xfrm>
          <a:off x="12532995" y="264795"/>
          <a:ext cx="7026910" cy="4013200"/>
        </a:xfrm>
        <a:prstGeom prst="rect">
          <a:avLst/>
        </a:prstGeom>
      </xdr:spPr>
    </xdr:pic>
    <xdr:clientData/>
  </xdr:twoCellAnchor>
  <xdr:twoCellAnchor editAs="oneCell">
    <xdr:from>
      <xdr:col>3</xdr:col>
      <xdr:colOff>601980</xdr:colOff>
      <xdr:row>2</xdr:row>
      <xdr:rowOff>32385</xdr:rowOff>
    </xdr:from>
    <xdr:to>
      <xdr:col>13</xdr:col>
      <xdr:colOff>741680</xdr:colOff>
      <xdr:row>23</xdr:row>
      <xdr:rowOff>42545</xdr:rowOff>
    </xdr:to>
    <xdr:pic>
      <xdr:nvPicPr>
        <xdr:cNvPr id="6" name="Picture 5" descr="Screenshot from 2021-06-09 14-10-32"/>
        <xdr:cNvPicPr>
          <a:picLocks noChangeAspect="true"/>
        </xdr:cNvPicPr>
      </xdr:nvPicPr>
      <xdr:blipFill>
        <a:blip r:embed="rId5"/>
        <a:stretch>
          <a:fillRect/>
        </a:stretch>
      </xdr:blipFill>
      <xdr:spPr>
        <a:xfrm>
          <a:off x="3907155" y="432435"/>
          <a:ext cx="8521700" cy="4210685"/>
        </a:xfrm>
        <a:prstGeom prst="rect">
          <a:avLst/>
        </a:prstGeom>
      </xdr:spPr>
    </xdr:pic>
    <xdr:clientData/>
  </xdr:twoCellAnchor>
  <xdr:twoCellAnchor editAs="oneCell">
    <xdr:from>
      <xdr:col>0</xdr:col>
      <xdr:colOff>635</xdr:colOff>
      <xdr:row>46</xdr:row>
      <xdr:rowOff>110490</xdr:rowOff>
    </xdr:from>
    <xdr:to>
      <xdr:col>8</xdr:col>
      <xdr:colOff>737235</xdr:colOff>
      <xdr:row>61</xdr:row>
      <xdr:rowOff>0</xdr:rowOff>
    </xdr:to>
    <xdr:pic>
      <xdr:nvPicPr>
        <xdr:cNvPr id="7" name="Picture 6" descr="Screenshot from 2021-06-09 14-10-42"/>
        <xdr:cNvPicPr>
          <a:picLocks noChangeAspect="true"/>
        </xdr:cNvPicPr>
      </xdr:nvPicPr>
      <xdr:blipFill>
        <a:blip r:embed="rId6"/>
        <a:stretch>
          <a:fillRect/>
        </a:stretch>
      </xdr:blipFill>
      <xdr:spPr>
        <a:xfrm>
          <a:off x="635" y="9311640"/>
          <a:ext cx="8232775" cy="2889885"/>
        </a:xfrm>
        <a:prstGeom prst="rect">
          <a:avLst/>
        </a:prstGeom>
      </xdr:spPr>
    </xdr:pic>
    <xdr:clientData/>
  </xdr:twoCellAnchor>
</xdr:wsDr>
</file>

<file path=xl/drawings/drawing18.xml><?xml version="1.0" encoding="utf-8"?>
<xdr:wsDr xmlns:xdr="http://schemas.openxmlformats.org/drawingml/2006/spreadsheetDrawing" xmlns:r="http://schemas.openxmlformats.org/officeDocument/2006/relationships" xmlns:a="http://schemas.openxmlformats.org/drawingml/2006/main">
  <xdr:twoCellAnchor editAs="oneCell">
    <xdr:from>
      <xdr:col>7</xdr:col>
      <xdr:colOff>789305</xdr:colOff>
      <xdr:row>4</xdr:row>
      <xdr:rowOff>180340</xdr:rowOff>
    </xdr:from>
    <xdr:to>
      <xdr:col>11</xdr:col>
      <xdr:colOff>676275</xdr:colOff>
      <xdr:row>27</xdr:row>
      <xdr:rowOff>171450</xdr:rowOff>
    </xdr:to>
    <xdr:pic>
      <xdr:nvPicPr>
        <xdr:cNvPr id="2" name="Picture 1" descr="Screenshot from 2021-06-09 14-19-13"/>
        <xdr:cNvPicPr>
          <a:picLocks noChangeAspect="true"/>
        </xdr:cNvPicPr>
      </xdr:nvPicPr>
      <xdr:blipFill>
        <a:blip r:embed="rId1"/>
        <a:stretch>
          <a:fillRect/>
        </a:stretch>
      </xdr:blipFill>
      <xdr:spPr>
        <a:xfrm>
          <a:off x="7447280" y="980440"/>
          <a:ext cx="3239770" cy="4591685"/>
        </a:xfrm>
        <a:prstGeom prst="rect">
          <a:avLst/>
        </a:prstGeom>
      </xdr:spPr>
    </xdr:pic>
    <xdr:clientData/>
  </xdr:twoCellAnchor>
  <xdr:twoCellAnchor editAs="oneCell">
    <xdr:from>
      <xdr:col>3</xdr:col>
      <xdr:colOff>781050</xdr:colOff>
      <xdr:row>2</xdr:row>
      <xdr:rowOff>104775</xdr:rowOff>
    </xdr:from>
    <xdr:to>
      <xdr:col>7</xdr:col>
      <xdr:colOff>436880</xdr:colOff>
      <xdr:row>28</xdr:row>
      <xdr:rowOff>133350</xdr:rowOff>
    </xdr:to>
    <xdr:pic>
      <xdr:nvPicPr>
        <xdr:cNvPr id="3" name="Picture 2" descr="Screenshot from 2021-06-09 14-19-20"/>
        <xdr:cNvPicPr>
          <a:picLocks noChangeAspect="true"/>
        </xdr:cNvPicPr>
      </xdr:nvPicPr>
      <xdr:blipFill>
        <a:blip r:embed="rId2"/>
        <a:stretch>
          <a:fillRect/>
        </a:stretch>
      </xdr:blipFill>
      <xdr:spPr>
        <a:xfrm>
          <a:off x="4086225" y="504825"/>
          <a:ext cx="3008630" cy="5229225"/>
        </a:xfrm>
        <a:prstGeom prst="rect">
          <a:avLst/>
        </a:prstGeom>
      </xdr:spPr>
    </xdr:pic>
    <xdr:clientData/>
  </xdr:twoCellAnchor>
  <xdr:twoCellAnchor editAs="oneCell">
    <xdr:from>
      <xdr:col>11</xdr:col>
      <xdr:colOff>571500</xdr:colOff>
      <xdr:row>14</xdr:row>
      <xdr:rowOff>19050</xdr:rowOff>
    </xdr:from>
    <xdr:to>
      <xdr:col>20</xdr:col>
      <xdr:colOff>576580</xdr:colOff>
      <xdr:row>39</xdr:row>
      <xdr:rowOff>148590</xdr:rowOff>
    </xdr:to>
    <xdr:pic>
      <xdr:nvPicPr>
        <xdr:cNvPr id="4" name="Picture 3" descr="Screenshot from 2021-06-09 14-19-28"/>
        <xdr:cNvPicPr>
          <a:picLocks noChangeAspect="true"/>
        </xdr:cNvPicPr>
      </xdr:nvPicPr>
      <xdr:blipFill>
        <a:blip r:embed="rId3"/>
        <a:stretch>
          <a:fillRect/>
        </a:stretch>
      </xdr:blipFill>
      <xdr:spPr>
        <a:xfrm>
          <a:off x="10582275" y="2819400"/>
          <a:ext cx="7548880" cy="5130165"/>
        </a:xfrm>
        <a:prstGeom prst="rect">
          <a:avLst/>
        </a:prstGeom>
      </xdr:spPr>
    </xdr:pic>
    <xdr:clientData/>
  </xdr:twoCellAnchor>
  <xdr:twoCellAnchor editAs="oneCell">
    <xdr:from>
      <xdr:col>12</xdr:col>
      <xdr:colOff>342265</xdr:colOff>
      <xdr:row>0</xdr:row>
      <xdr:rowOff>172720</xdr:rowOff>
    </xdr:from>
    <xdr:to>
      <xdr:col>18</xdr:col>
      <xdr:colOff>162560</xdr:colOff>
      <xdr:row>14</xdr:row>
      <xdr:rowOff>175895</xdr:rowOff>
    </xdr:to>
    <xdr:pic>
      <xdr:nvPicPr>
        <xdr:cNvPr id="5" name="Picture 4" descr="Screenshot from 2021-06-09 14-19-37"/>
        <xdr:cNvPicPr>
          <a:picLocks noChangeAspect="true"/>
        </xdr:cNvPicPr>
      </xdr:nvPicPr>
      <xdr:blipFill>
        <a:blip r:embed="rId4"/>
        <a:stretch>
          <a:fillRect/>
        </a:stretch>
      </xdr:blipFill>
      <xdr:spPr>
        <a:xfrm>
          <a:off x="11191240" y="172720"/>
          <a:ext cx="4849495" cy="2803525"/>
        </a:xfrm>
        <a:prstGeom prst="rect">
          <a:avLst/>
        </a:prstGeom>
      </xdr:spPr>
    </xdr:pic>
    <xdr:clientData/>
  </xdr:twoCellAnchor>
  <xdr:twoCellAnchor editAs="oneCell">
    <xdr:from>
      <xdr:col>3</xdr:col>
      <xdr:colOff>247650</xdr:colOff>
      <xdr:row>29</xdr:row>
      <xdr:rowOff>114300</xdr:rowOff>
    </xdr:from>
    <xdr:to>
      <xdr:col>10</xdr:col>
      <xdr:colOff>257810</xdr:colOff>
      <xdr:row>45</xdr:row>
      <xdr:rowOff>169545</xdr:rowOff>
    </xdr:to>
    <xdr:pic>
      <xdr:nvPicPr>
        <xdr:cNvPr id="6" name="Picture 5" descr="Screenshot from 2021-06-09 14-19-47"/>
        <xdr:cNvPicPr>
          <a:picLocks noChangeAspect="true"/>
        </xdr:cNvPicPr>
      </xdr:nvPicPr>
      <xdr:blipFill>
        <a:blip r:embed="rId5"/>
        <a:stretch>
          <a:fillRect/>
        </a:stretch>
      </xdr:blipFill>
      <xdr:spPr>
        <a:xfrm>
          <a:off x="3552825" y="5915025"/>
          <a:ext cx="5877560" cy="3255645"/>
        </a:xfrm>
        <a:prstGeom prst="rect">
          <a:avLst/>
        </a:prstGeom>
      </xdr:spPr>
    </xdr:pic>
    <xdr:clientData/>
  </xdr:twoCellAnchor>
  <xdr:twoCellAnchor editAs="oneCell">
    <xdr:from>
      <xdr:col>10</xdr:col>
      <xdr:colOff>304800</xdr:colOff>
      <xdr:row>39</xdr:row>
      <xdr:rowOff>199390</xdr:rowOff>
    </xdr:from>
    <xdr:to>
      <xdr:col>15</xdr:col>
      <xdr:colOff>647700</xdr:colOff>
      <xdr:row>59</xdr:row>
      <xdr:rowOff>114300</xdr:rowOff>
    </xdr:to>
    <xdr:pic>
      <xdr:nvPicPr>
        <xdr:cNvPr id="7" name="Picture 6" descr="Screenshot from 2021-06-09 14-19-58"/>
        <xdr:cNvPicPr>
          <a:picLocks noChangeAspect="true"/>
        </xdr:cNvPicPr>
      </xdr:nvPicPr>
      <xdr:blipFill>
        <a:blip r:embed="rId6"/>
        <a:stretch>
          <a:fillRect/>
        </a:stretch>
      </xdr:blipFill>
      <xdr:spPr>
        <a:xfrm>
          <a:off x="9477375" y="8000365"/>
          <a:ext cx="4533900" cy="3915410"/>
        </a:xfrm>
        <a:prstGeom prst="rect">
          <a:avLst/>
        </a:prstGeom>
      </xdr:spPr>
    </xdr:pic>
    <xdr:clientData/>
  </xdr:twoCellAnchor>
  <xdr:twoCellAnchor editAs="oneCell">
    <xdr:from>
      <xdr:col>0</xdr:col>
      <xdr:colOff>635</xdr:colOff>
      <xdr:row>46</xdr:row>
      <xdr:rowOff>152400</xdr:rowOff>
    </xdr:from>
    <xdr:to>
      <xdr:col>3</xdr:col>
      <xdr:colOff>314960</xdr:colOff>
      <xdr:row>65</xdr:row>
      <xdr:rowOff>93345</xdr:rowOff>
    </xdr:to>
    <xdr:pic>
      <xdr:nvPicPr>
        <xdr:cNvPr id="8" name="Picture 7" descr="Screenshot from 2021-06-09 14-20-54"/>
        <xdr:cNvPicPr>
          <a:picLocks noChangeAspect="true"/>
        </xdr:cNvPicPr>
      </xdr:nvPicPr>
      <xdr:blipFill>
        <a:blip r:embed="rId7"/>
        <a:stretch>
          <a:fillRect/>
        </a:stretch>
      </xdr:blipFill>
      <xdr:spPr>
        <a:xfrm>
          <a:off x="635" y="9353550"/>
          <a:ext cx="3619500" cy="3741420"/>
        </a:xfrm>
        <a:prstGeom prst="rect">
          <a:avLst/>
        </a:prstGeom>
      </xdr:spPr>
    </xdr:pic>
    <xdr:clientData/>
  </xdr:twoCellAnchor>
</xdr:wsDr>
</file>

<file path=xl/drawings/drawing19.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132080</xdr:colOff>
      <xdr:row>0</xdr:row>
      <xdr:rowOff>142875</xdr:rowOff>
    </xdr:from>
    <xdr:to>
      <xdr:col>10</xdr:col>
      <xdr:colOff>697865</xdr:colOff>
      <xdr:row>25</xdr:row>
      <xdr:rowOff>131445</xdr:rowOff>
    </xdr:to>
    <xdr:pic>
      <xdr:nvPicPr>
        <xdr:cNvPr id="2" name="Picture 1" descr="Screenshot from 2021-06-21 09-59-36"/>
        <xdr:cNvPicPr>
          <a:picLocks noChangeAspect="true"/>
        </xdr:cNvPicPr>
      </xdr:nvPicPr>
      <xdr:blipFill>
        <a:blip r:embed="rId1"/>
        <a:stretch>
          <a:fillRect/>
        </a:stretch>
      </xdr:blipFill>
      <xdr:spPr>
        <a:xfrm>
          <a:off x="4275455" y="142875"/>
          <a:ext cx="5594985" cy="4989195"/>
        </a:xfrm>
        <a:prstGeom prst="rect">
          <a:avLst/>
        </a:prstGeom>
      </xdr:spPr>
    </xdr:pic>
    <xdr:clientData/>
  </xdr:twoCellAnchor>
  <xdr:twoCellAnchor editAs="oneCell">
    <xdr:from>
      <xdr:col>4</xdr:col>
      <xdr:colOff>438150</xdr:colOff>
      <xdr:row>29</xdr:row>
      <xdr:rowOff>123825</xdr:rowOff>
    </xdr:from>
    <xdr:to>
      <xdr:col>9</xdr:col>
      <xdr:colOff>200025</xdr:colOff>
      <xdr:row>51</xdr:row>
      <xdr:rowOff>161925</xdr:rowOff>
    </xdr:to>
    <xdr:pic>
      <xdr:nvPicPr>
        <xdr:cNvPr id="3" name="Picture 2" descr="Screenshot from 2021-06-21 09-59-40"/>
        <xdr:cNvPicPr>
          <a:picLocks noChangeAspect="true"/>
        </xdr:cNvPicPr>
      </xdr:nvPicPr>
      <xdr:blipFill>
        <a:blip r:embed="rId2"/>
        <a:stretch>
          <a:fillRect/>
        </a:stretch>
      </xdr:blipFill>
      <xdr:spPr>
        <a:xfrm>
          <a:off x="4581525" y="5924550"/>
          <a:ext cx="3952875" cy="4438650"/>
        </a:xfrm>
        <a:prstGeom prst="rect">
          <a:avLst/>
        </a:prstGeom>
      </xdr:spPr>
    </xdr:pic>
    <xdr:clientData/>
  </xdr:twoCellAnchor>
  <xdr:twoCellAnchor editAs="oneCell">
    <xdr:from>
      <xdr:col>9</xdr:col>
      <xdr:colOff>361950</xdr:colOff>
      <xdr:row>29</xdr:row>
      <xdr:rowOff>19050</xdr:rowOff>
    </xdr:from>
    <xdr:to>
      <xdr:col>14</xdr:col>
      <xdr:colOff>156210</xdr:colOff>
      <xdr:row>55</xdr:row>
      <xdr:rowOff>72390</xdr:rowOff>
    </xdr:to>
    <xdr:pic>
      <xdr:nvPicPr>
        <xdr:cNvPr id="4" name="Picture 3" descr="Screenshot from 2021-06-21 09-59-46"/>
        <xdr:cNvPicPr>
          <a:picLocks noChangeAspect="true"/>
        </xdr:cNvPicPr>
      </xdr:nvPicPr>
      <xdr:blipFill>
        <a:blip r:embed="rId3"/>
        <a:stretch>
          <a:fillRect/>
        </a:stretch>
      </xdr:blipFill>
      <xdr:spPr>
        <a:xfrm>
          <a:off x="8696325" y="5819775"/>
          <a:ext cx="3985260" cy="5253990"/>
        </a:xfrm>
        <a:prstGeom prst="rect">
          <a:avLst/>
        </a:prstGeom>
      </xdr:spPr>
    </xdr:pic>
    <xdr:clientData/>
  </xdr:twoCellAnchor>
  <xdr:twoCellAnchor editAs="oneCell">
    <xdr:from>
      <xdr:col>11</xdr:col>
      <xdr:colOff>228600</xdr:colOff>
      <xdr:row>0</xdr:row>
      <xdr:rowOff>152400</xdr:rowOff>
    </xdr:from>
    <xdr:to>
      <xdr:col>15</xdr:col>
      <xdr:colOff>758190</xdr:colOff>
      <xdr:row>15</xdr:row>
      <xdr:rowOff>70485</xdr:rowOff>
    </xdr:to>
    <xdr:pic>
      <xdr:nvPicPr>
        <xdr:cNvPr id="5" name="Picture 4" descr="Screenshot from 2021-06-21 09-59-51"/>
        <xdr:cNvPicPr>
          <a:picLocks noChangeAspect="true"/>
        </xdr:cNvPicPr>
      </xdr:nvPicPr>
      <xdr:blipFill>
        <a:blip r:embed="rId4"/>
        <a:stretch>
          <a:fillRect/>
        </a:stretch>
      </xdr:blipFill>
      <xdr:spPr>
        <a:xfrm>
          <a:off x="10239375" y="152400"/>
          <a:ext cx="3882390" cy="2918460"/>
        </a:xfrm>
        <a:prstGeom prst="rect">
          <a:avLst/>
        </a:prstGeom>
      </xdr:spPr>
    </xdr:pic>
    <xdr:clientData/>
  </xdr:twoCellAnchor>
  <xdr:twoCellAnchor editAs="oneCell">
    <xdr:from>
      <xdr:col>8</xdr:col>
      <xdr:colOff>66675</xdr:colOff>
      <xdr:row>72</xdr:row>
      <xdr:rowOff>133350</xdr:rowOff>
    </xdr:from>
    <xdr:to>
      <xdr:col>16</xdr:col>
      <xdr:colOff>194310</xdr:colOff>
      <xdr:row>88</xdr:row>
      <xdr:rowOff>19685</xdr:rowOff>
    </xdr:to>
    <xdr:pic>
      <xdr:nvPicPr>
        <xdr:cNvPr id="6" name="Picture 5" descr="Screenshot from 2021-06-21 10-00-03"/>
        <xdr:cNvPicPr>
          <a:picLocks noChangeAspect="true"/>
        </xdr:cNvPicPr>
      </xdr:nvPicPr>
      <xdr:blipFill>
        <a:blip r:embed="rId5"/>
        <a:stretch>
          <a:fillRect/>
        </a:stretch>
      </xdr:blipFill>
      <xdr:spPr>
        <a:xfrm>
          <a:off x="7562850" y="14535150"/>
          <a:ext cx="6833235" cy="3086735"/>
        </a:xfrm>
        <a:prstGeom prst="rect">
          <a:avLst/>
        </a:prstGeom>
      </xdr:spPr>
    </xdr:pic>
    <xdr:clientData/>
  </xdr:twoCellAnchor>
  <xdr:twoCellAnchor editAs="oneCell">
    <xdr:from>
      <xdr:col>0</xdr:col>
      <xdr:colOff>104775</xdr:colOff>
      <xdr:row>51</xdr:row>
      <xdr:rowOff>142875</xdr:rowOff>
    </xdr:from>
    <xdr:to>
      <xdr:col>7</xdr:col>
      <xdr:colOff>278765</xdr:colOff>
      <xdr:row>60</xdr:row>
      <xdr:rowOff>29210</xdr:rowOff>
    </xdr:to>
    <xdr:pic>
      <xdr:nvPicPr>
        <xdr:cNvPr id="7" name="Picture 6" descr="Screenshot from 2021-06-21 10-00-09"/>
        <xdr:cNvPicPr>
          <a:picLocks noChangeAspect="true"/>
        </xdr:cNvPicPr>
      </xdr:nvPicPr>
      <xdr:blipFill>
        <a:blip r:embed="rId6"/>
        <a:stretch>
          <a:fillRect/>
        </a:stretch>
      </xdr:blipFill>
      <xdr:spPr>
        <a:xfrm>
          <a:off x="104775" y="10344150"/>
          <a:ext cx="6831965" cy="1686560"/>
        </a:xfrm>
        <a:prstGeom prst="rect">
          <a:avLst/>
        </a:prstGeom>
      </xdr:spPr>
    </xdr:pic>
    <xdr:clientData/>
  </xdr:twoCellAnchor>
  <xdr:twoCellAnchor editAs="oneCell">
    <xdr:from>
      <xdr:col>14</xdr:col>
      <xdr:colOff>390525</xdr:colOff>
      <xdr:row>28</xdr:row>
      <xdr:rowOff>123825</xdr:rowOff>
    </xdr:from>
    <xdr:to>
      <xdr:col>18</xdr:col>
      <xdr:colOff>608965</xdr:colOff>
      <xdr:row>41</xdr:row>
      <xdr:rowOff>20955</xdr:rowOff>
    </xdr:to>
    <xdr:pic>
      <xdr:nvPicPr>
        <xdr:cNvPr id="8" name="Picture 7" descr="Screenshot from 2021-06-21 10-00-23"/>
        <xdr:cNvPicPr>
          <a:picLocks noChangeAspect="true"/>
        </xdr:cNvPicPr>
      </xdr:nvPicPr>
      <xdr:blipFill>
        <a:blip r:embed="rId7"/>
        <a:stretch>
          <a:fillRect/>
        </a:stretch>
      </xdr:blipFill>
      <xdr:spPr>
        <a:xfrm>
          <a:off x="12915900" y="5724525"/>
          <a:ext cx="3571240" cy="2497455"/>
        </a:xfrm>
        <a:prstGeom prst="rect">
          <a:avLst/>
        </a:prstGeom>
      </xdr:spPr>
    </xdr:pic>
    <xdr:clientData/>
  </xdr:twoCellAnchor>
  <xdr:twoCellAnchor editAs="oneCell">
    <xdr:from>
      <xdr:col>0</xdr:col>
      <xdr:colOff>635</xdr:colOff>
      <xdr:row>61</xdr:row>
      <xdr:rowOff>104775</xdr:rowOff>
    </xdr:from>
    <xdr:to>
      <xdr:col>7</xdr:col>
      <xdr:colOff>175260</xdr:colOff>
      <xdr:row>76</xdr:row>
      <xdr:rowOff>170180</xdr:rowOff>
    </xdr:to>
    <xdr:pic>
      <xdr:nvPicPr>
        <xdr:cNvPr id="9" name="Picture 8" descr="Screenshot from 2021-06-21 10-00-33"/>
        <xdr:cNvPicPr>
          <a:picLocks noChangeAspect="true"/>
        </xdr:cNvPicPr>
      </xdr:nvPicPr>
      <xdr:blipFill>
        <a:blip r:embed="rId8"/>
        <a:stretch>
          <a:fillRect/>
        </a:stretch>
      </xdr:blipFill>
      <xdr:spPr>
        <a:xfrm>
          <a:off x="635" y="12306300"/>
          <a:ext cx="6832600" cy="3065780"/>
        </a:xfrm>
        <a:prstGeom prst="rect">
          <a:avLst/>
        </a:prstGeom>
      </xdr:spPr>
    </xdr:pic>
    <xdr:clientData/>
  </xdr:twoCellAnchor>
  <xdr:twoCellAnchor editAs="oneCell">
    <xdr:from>
      <xdr:col>11</xdr:col>
      <xdr:colOff>157480</xdr:colOff>
      <xdr:row>15</xdr:row>
      <xdr:rowOff>95250</xdr:rowOff>
    </xdr:from>
    <xdr:to>
      <xdr:col>17</xdr:col>
      <xdr:colOff>264795</xdr:colOff>
      <xdr:row>28</xdr:row>
      <xdr:rowOff>34925</xdr:rowOff>
    </xdr:to>
    <xdr:pic>
      <xdr:nvPicPr>
        <xdr:cNvPr id="10" name="Picture 9" descr="Screenshot from 2021-06-21 10-00-47"/>
        <xdr:cNvPicPr>
          <a:picLocks noChangeAspect="true"/>
        </xdr:cNvPicPr>
      </xdr:nvPicPr>
      <xdr:blipFill>
        <a:blip r:embed="rId9"/>
        <a:stretch>
          <a:fillRect/>
        </a:stretch>
      </xdr:blipFill>
      <xdr:spPr>
        <a:xfrm>
          <a:off x="10168255" y="3095625"/>
          <a:ext cx="5136515" cy="2540000"/>
        </a:xfrm>
        <a:prstGeom prst="rect">
          <a:avLst/>
        </a:prstGeom>
      </xdr:spPr>
    </xdr:pic>
    <xdr:clientData/>
  </xdr:twoCellAnchor>
  <xdr:twoCellAnchor editAs="oneCell">
    <xdr:from>
      <xdr:col>7</xdr:col>
      <xdr:colOff>428625</xdr:colOff>
      <xdr:row>56</xdr:row>
      <xdr:rowOff>47625</xdr:rowOff>
    </xdr:from>
    <xdr:to>
      <xdr:col>15</xdr:col>
      <xdr:colOff>556260</xdr:colOff>
      <xdr:row>69</xdr:row>
      <xdr:rowOff>55245</xdr:rowOff>
    </xdr:to>
    <xdr:pic>
      <xdr:nvPicPr>
        <xdr:cNvPr id="11" name="Picture 10" descr="Screenshot from 2021-06-21 10-01-01"/>
        <xdr:cNvPicPr>
          <a:picLocks noChangeAspect="true"/>
        </xdr:cNvPicPr>
      </xdr:nvPicPr>
      <xdr:blipFill>
        <a:blip r:embed="rId10"/>
        <a:stretch>
          <a:fillRect/>
        </a:stretch>
      </xdr:blipFill>
      <xdr:spPr>
        <a:xfrm>
          <a:off x="7086600" y="11249025"/>
          <a:ext cx="6833235" cy="2607945"/>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304800</xdr:colOff>
      <xdr:row>2</xdr:row>
      <xdr:rowOff>95250</xdr:rowOff>
    </xdr:from>
    <xdr:to>
      <xdr:col>12</xdr:col>
      <xdr:colOff>409575</xdr:colOff>
      <xdr:row>8</xdr:row>
      <xdr:rowOff>183515</xdr:rowOff>
    </xdr:to>
    <xdr:pic>
      <xdr:nvPicPr>
        <xdr:cNvPr id="2" name="Picture 1" descr="Screenshot from 2021-06-08 09-13-24"/>
        <xdr:cNvPicPr>
          <a:picLocks noChangeAspect="true"/>
        </xdr:cNvPicPr>
      </xdr:nvPicPr>
      <xdr:blipFill>
        <a:blip r:embed="rId1"/>
        <a:stretch>
          <a:fillRect/>
        </a:stretch>
      </xdr:blipFill>
      <xdr:spPr>
        <a:xfrm>
          <a:off x="3781425" y="495300"/>
          <a:ext cx="7648575" cy="1288415"/>
        </a:xfrm>
        <a:prstGeom prst="rect">
          <a:avLst/>
        </a:prstGeom>
      </xdr:spPr>
    </xdr:pic>
    <xdr:clientData/>
  </xdr:twoCellAnchor>
  <xdr:twoCellAnchor editAs="oneCell">
    <xdr:from>
      <xdr:col>3</xdr:col>
      <xdr:colOff>733425</xdr:colOff>
      <xdr:row>18</xdr:row>
      <xdr:rowOff>142875</xdr:rowOff>
    </xdr:from>
    <xdr:to>
      <xdr:col>11</xdr:col>
      <xdr:colOff>587375</xdr:colOff>
      <xdr:row>49</xdr:row>
      <xdr:rowOff>196850</xdr:rowOff>
    </xdr:to>
    <xdr:pic>
      <xdr:nvPicPr>
        <xdr:cNvPr id="3" name="Picture 2" descr="Screenshot from 2021-06-08 09-13-30"/>
        <xdr:cNvPicPr>
          <a:picLocks noChangeAspect="true"/>
        </xdr:cNvPicPr>
      </xdr:nvPicPr>
      <xdr:blipFill>
        <a:blip r:embed="rId2"/>
        <a:stretch>
          <a:fillRect/>
        </a:stretch>
      </xdr:blipFill>
      <xdr:spPr>
        <a:xfrm>
          <a:off x="4210050" y="3743325"/>
          <a:ext cx="6559550" cy="6254750"/>
        </a:xfrm>
        <a:prstGeom prst="rect">
          <a:avLst/>
        </a:prstGeom>
      </xdr:spPr>
    </xdr:pic>
    <xdr:clientData/>
  </xdr:twoCellAnchor>
  <xdr:twoCellAnchor editAs="oneCell">
    <xdr:from>
      <xdr:col>0</xdr:col>
      <xdr:colOff>635</xdr:colOff>
      <xdr:row>53</xdr:row>
      <xdr:rowOff>142875</xdr:rowOff>
    </xdr:from>
    <xdr:to>
      <xdr:col>7</xdr:col>
      <xdr:colOff>116205</xdr:colOff>
      <xdr:row>74</xdr:row>
      <xdr:rowOff>107315</xdr:rowOff>
    </xdr:to>
    <xdr:pic>
      <xdr:nvPicPr>
        <xdr:cNvPr id="4" name="Picture 3" descr="Screenshot from 2021-06-08 09-13-38"/>
        <xdr:cNvPicPr>
          <a:picLocks noChangeAspect="true"/>
        </xdr:cNvPicPr>
      </xdr:nvPicPr>
      <xdr:blipFill>
        <a:blip r:embed="rId3"/>
        <a:stretch>
          <a:fillRect/>
        </a:stretch>
      </xdr:blipFill>
      <xdr:spPr>
        <a:xfrm>
          <a:off x="635" y="10744200"/>
          <a:ext cx="6944995" cy="4164965"/>
        </a:xfrm>
        <a:prstGeom prst="rect">
          <a:avLst/>
        </a:prstGeom>
      </xdr:spPr>
    </xdr:pic>
    <xdr:clientData/>
  </xdr:twoCellAnchor>
  <xdr:twoCellAnchor editAs="oneCell">
    <xdr:from>
      <xdr:col>8</xdr:col>
      <xdr:colOff>647700</xdr:colOff>
      <xdr:row>47</xdr:row>
      <xdr:rowOff>19050</xdr:rowOff>
    </xdr:from>
    <xdr:to>
      <xdr:col>17</xdr:col>
      <xdr:colOff>531495</xdr:colOff>
      <xdr:row>85</xdr:row>
      <xdr:rowOff>134620</xdr:rowOff>
    </xdr:to>
    <xdr:pic>
      <xdr:nvPicPr>
        <xdr:cNvPr id="15" name="Picture 14" descr="Screenshot from 2021-06-08 09-14-44"/>
        <xdr:cNvPicPr>
          <a:picLocks noChangeAspect="true"/>
        </xdr:cNvPicPr>
      </xdr:nvPicPr>
      <xdr:blipFill>
        <a:blip r:embed="rId4"/>
        <a:stretch>
          <a:fillRect/>
        </a:stretch>
      </xdr:blipFill>
      <xdr:spPr>
        <a:xfrm>
          <a:off x="8315325" y="9420225"/>
          <a:ext cx="7427595" cy="7716520"/>
        </a:xfrm>
        <a:prstGeom prst="rect">
          <a:avLst/>
        </a:prstGeom>
      </xdr:spPr>
    </xdr:pic>
    <xdr:clientData/>
  </xdr:twoCellAnchor>
  <xdr:twoCellAnchor editAs="oneCell">
    <xdr:from>
      <xdr:col>12</xdr:col>
      <xdr:colOff>200025</xdr:colOff>
      <xdr:row>2</xdr:row>
      <xdr:rowOff>0</xdr:rowOff>
    </xdr:from>
    <xdr:to>
      <xdr:col>20</xdr:col>
      <xdr:colOff>741680</xdr:colOff>
      <xdr:row>40</xdr:row>
      <xdr:rowOff>114935</xdr:rowOff>
    </xdr:to>
    <xdr:pic>
      <xdr:nvPicPr>
        <xdr:cNvPr id="16" name="Picture 15" descr="Screenshot from 2021-06-08 09-14-50"/>
        <xdr:cNvPicPr>
          <a:picLocks noChangeAspect="true"/>
        </xdr:cNvPicPr>
      </xdr:nvPicPr>
      <xdr:blipFill>
        <a:blip r:embed="rId5"/>
        <a:stretch>
          <a:fillRect/>
        </a:stretch>
      </xdr:blipFill>
      <xdr:spPr>
        <a:xfrm>
          <a:off x="11220450" y="400050"/>
          <a:ext cx="7247255" cy="7715885"/>
        </a:xfrm>
        <a:prstGeom prst="rect">
          <a:avLst/>
        </a:prstGeom>
      </xdr:spPr>
    </xdr:pic>
    <xdr:clientData/>
  </xdr:twoCellAnchor>
  <xdr:twoCellAnchor editAs="oneCell">
    <xdr:from>
      <xdr:col>4</xdr:col>
      <xdr:colOff>457200</xdr:colOff>
      <xdr:row>9</xdr:row>
      <xdr:rowOff>57150</xdr:rowOff>
    </xdr:from>
    <xdr:to>
      <xdr:col>8</xdr:col>
      <xdr:colOff>724535</xdr:colOff>
      <xdr:row>17</xdr:row>
      <xdr:rowOff>78740</xdr:rowOff>
    </xdr:to>
    <xdr:pic>
      <xdr:nvPicPr>
        <xdr:cNvPr id="21" name="Picture 20" descr="Main particulars of S175 containership."/>
        <xdr:cNvPicPr>
          <a:picLocks noChangeAspect="true"/>
        </xdr:cNvPicPr>
      </xdr:nvPicPr>
      <xdr:blipFill>
        <a:blip r:embed="rId6" r:link="rId7"/>
        <a:srcRect r="30272"/>
        <a:stretch>
          <a:fillRect/>
        </a:stretch>
      </xdr:blipFill>
      <xdr:spPr>
        <a:xfrm>
          <a:off x="4772025" y="1857375"/>
          <a:ext cx="3620135" cy="1621790"/>
        </a:xfrm>
        <a:prstGeom prst="rect">
          <a:avLst/>
        </a:prstGeom>
        <a:noFill/>
        <a:ln w="9525">
          <a:noFill/>
        </a:ln>
      </xdr:spPr>
    </xdr:pic>
    <xdr:clientData/>
  </xdr:twoCellAnchor>
</xdr:wsDr>
</file>

<file path=xl/drawings/drawing20.xml><?xml version="1.0" encoding="utf-8"?>
<xdr:wsDr xmlns:xdr="http://schemas.openxmlformats.org/drawingml/2006/spreadsheetDrawing" xmlns:r="http://schemas.openxmlformats.org/officeDocument/2006/relationships" xmlns:a="http://schemas.openxmlformats.org/drawingml/2006/main">
  <xdr:twoCellAnchor editAs="oneCell">
    <xdr:from>
      <xdr:col>11</xdr:col>
      <xdr:colOff>666750</xdr:colOff>
      <xdr:row>0</xdr:row>
      <xdr:rowOff>123825</xdr:rowOff>
    </xdr:from>
    <xdr:to>
      <xdr:col>18</xdr:col>
      <xdr:colOff>67310</xdr:colOff>
      <xdr:row>19</xdr:row>
      <xdr:rowOff>40005</xdr:rowOff>
    </xdr:to>
    <xdr:pic>
      <xdr:nvPicPr>
        <xdr:cNvPr id="2" name="Picture 1" descr="Screenshot from 2021-06-10 08-33-56"/>
        <xdr:cNvPicPr>
          <a:picLocks noChangeAspect="true"/>
        </xdr:cNvPicPr>
      </xdr:nvPicPr>
      <xdr:blipFill>
        <a:blip r:embed="rId1"/>
        <a:stretch>
          <a:fillRect/>
        </a:stretch>
      </xdr:blipFill>
      <xdr:spPr>
        <a:xfrm>
          <a:off x="10677525" y="123825"/>
          <a:ext cx="5267960" cy="3716655"/>
        </a:xfrm>
        <a:prstGeom prst="rect">
          <a:avLst/>
        </a:prstGeom>
      </xdr:spPr>
    </xdr:pic>
    <xdr:clientData/>
  </xdr:twoCellAnchor>
  <xdr:twoCellAnchor editAs="oneCell">
    <xdr:from>
      <xdr:col>3</xdr:col>
      <xdr:colOff>419100</xdr:colOff>
      <xdr:row>28</xdr:row>
      <xdr:rowOff>47625</xdr:rowOff>
    </xdr:from>
    <xdr:to>
      <xdr:col>10</xdr:col>
      <xdr:colOff>801370</xdr:colOff>
      <xdr:row>39</xdr:row>
      <xdr:rowOff>88900</xdr:rowOff>
    </xdr:to>
    <xdr:pic>
      <xdr:nvPicPr>
        <xdr:cNvPr id="3" name="Picture 2" descr="Screenshot from 2021-06-10 08-34-01"/>
        <xdr:cNvPicPr>
          <a:picLocks noChangeAspect="true"/>
        </xdr:cNvPicPr>
      </xdr:nvPicPr>
      <xdr:blipFill>
        <a:blip r:embed="rId2"/>
        <a:stretch>
          <a:fillRect/>
        </a:stretch>
      </xdr:blipFill>
      <xdr:spPr>
        <a:xfrm>
          <a:off x="3724275" y="5648325"/>
          <a:ext cx="6249670" cy="2241550"/>
        </a:xfrm>
        <a:prstGeom prst="rect">
          <a:avLst/>
        </a:prstGeom>
      </xdr:spPr>
    </xdr:pic>
    <xdr:clientData/>
  </xdr:twoCellAnchor>
  <xdr:twoCellAnchor editAs="oneCell">
    <xdr:from>
      <xdr:col>10</xdr:col>
      <xdr:colOff>626110</xdr:colOff>
      <xdr:row>19</xdr:row>
      <xdr:rowOff>28575</xdr:rowOff>
    </xdr:from>
    <xdr:to>
      <xdr:col>17</xdr:col>
      <xdr:colOff>753110</xdr:colOff>
      <xdr:row>27</xdr:row>
      <xdr:rowOff>29845</xdr:rowOff>
    </xdr:to>
    <xdr:pic>
      <xdr:nvPicPr>
        <xdr:cNvPr id="4" name="Picture 3" descr="Screenshot from 2021-06-10 08-34-07"/>
        <xdr:cNvPicPr>
          <a:picLocks noChangeAspect="true"/>
        </xdr:cNvPicPr>
      </xdr:nvPicPr>
      <xdr:blipFill>
        <a:blip r:embed="rId3"/>
        <a:stretch>
          <a:fillRect/>
        </a:stretch>
      </xdr:blipFill>
      <xdr:spPr>
        <a:xfrm>
          <a:off x="9798685" y="3829050"/>
          <a:ext cx="5994400" cy="1601470"/>
        </a:xfrm>
        <a:prstGeom prst="rect">
          <a:avLst/>
        </a:prstGeom>
      </xdr:spPr>
    </xdr:pic>
    <xdr:clientData/>
  </xdr:twoCellAnchor>
  <xdr:twoCellAnchor editAs="oneCell">
    <xdr:from>
      <xdr:col>4</xdr:col>
      <xdr:colOff>323850</xdr:colOff>
      <xdr:row>9</xdr:row>
      <xdr:rowOff>66675</xdr:rowOff>
    </xdr:from>
    <xdr:to>
      <xdr:col>9</xdr:col>
      <xdr:colOff>123825</xdr:colOff>
      <xdr:row>27</xdr:row>
      <xdr:rowOff>25400</xdr:rowOff>
    </xdr:to>
    <xdr:pic>
      <xdr:nvPicPr>
        <xdr:cNvPr id="5" name="Picture 4" descr="Screenshot from 2021-06-10 08-34-17"/>
        <xdr:cNvPicPr>
          <a:picLocks noChangeAspect="true"/>
        </xdr:cNvPicPr>
      </xdr:nvPicPr>
      <xdr:blipFill>
        <a:blip r:embed="rId4"/>
        <a:stretch>
          <a:fillRect/>
        </a:stretch>
      </xdr:blipFill>
      <xdr:spPr>
        <a:xfrm>
          <a:off x="4467225" y="1866900"/>
          <a:ext cx="3990975" cy="3559175"/>
        </a:xfrm>
        <a:prstGeom prst="rect">
          <a:avLst/>
        </a:prstGeom>
      </xdr:spPr>
    </xdr:pic>
    <xdr:clientData/>
  </xdr:twoCellAnchor>
  <xdr:twoCellAnchor editAs="oneCell">
    <xdr:from>
      <xdr:col>3</xdr:col>
      <xdr:colOff>333375</xdr:colOff>
      <xdr:row>1</xdr:row>
      <xdr:rowOff>171450</xdr:rowOff>
    </xdr:from>
    <xdr:to>
      <xdr:col>11</xdr:col>
      <xdr:colOff>228600</xdr:colOff>
      <xdr:row>12</xdr:row>
      <xdr:rowOff>74930</xdr:rowOff>
    </xdr:to>
    <xdr:pic>
      <xdr:nvPicPr>
        <xdr:cNvPr id="6" name="Picture 5" descr="Screenshot from 2021-06-10 08-34-25"/>
        <xdr:cNvPicPr>
          <a:picLocks noChangeAspect="true"/>
        </xdr:cNvPicPr>
      </xdr:nvPicPr>
      <xdr:blipFill>
        <a:blip r:embed="rId5"/>
        <a:stretch>
          <a:fillRect/>
        </a:stretch>
      </xdr:blipFill>
      <xdr:spPr>
        <a:xfrm>
          <a:off x="3638550" y="371475"/>
          <a:ext cx="6600825" cy="2103755"/>
        </a:xfrm>
        <a:prstGeom prst="rect">
          <a:avLst/>
        </a:prstGeom>
      </xdr:spPr>
    </xdr:pic>
    <xdr:clientData/>
  </xdr:twoCellAnchor>
  <xdr:twoCellAnchor editAs="oneCell">
    <xdr:from>
      <xdr:col>0</xdr:col>
      <xdr:colOff>1270</xdr:colOff>
      <xdr:row>47</xdr:row>
      <xdr:rowOff>114300</xdr:rowOff>
    </xdr:from>
    <xdr:to>
      <xdr:col>6</xdr:col>
      <xdr:colOff>687705</xdr:colOff>
      <xdr:row>59</xdr:row>
      <xdr:rowOff>89535</xdr:rowOff>
    </xdr:to>
    <xdr:pic>
      <xdr:nvPicPr>
        <xdr:cNvPr id="7" name="Picture 6" descr="Screenshot from 2021-06-10 08-34-37"/>
        <xdr:cNvPicPr>
          <a:picLocks noChangeAspect="true"/>
        </xdr:cNvPicPr>
      </xdr:nvPicPr>
      <xdr:blipFill>
        <a:blip r:embed="rId6"/>
        <a:stretch>
          <a:fillRect/>
        </a:stretch>
      </xdr:blipFill>
      <xdr:spPr>
        <a:xfrm>
          <a:off x="1270" y="9515475"/>
          <a:ext cx="6506210" cy="2375535"/>
        </a:xfrm>
        <a:prstGeom prst="rect">
          <a:avLst/>
        </a:prstGeom>
      </xdr:spPr>
    </xdr:pic>
    <xdr:clientData/>
  </xdr:twoCellAnchor>
  <xdr:twoCellAnchor editAs="oneCell">
    <xdr:from>
      <xdr:col>10</xdr:col>
      <xdr:colOff>742950</xdr:colOff>
      <xdr:row>28</xdr:row>
      <xdr:rowOff>9525</xdr:rowOff>
    </xdr:from>
    <xdr:to>
      <xdr:col>17</xdr:col>
      <xdr:colOff>400685</xdr:colOff>
      <xdr:row>43</xdr:row>
      <xdr:rowOff>23495</xdr:rowOff>
    </xdr:to>
    <xdr:pic>
      <xdr:nvPicPr>
        <xdr:cNvPr id="8" name="Picture 7" descr="Screenshot from 2021-06-10 08-36-13"/>
        <xdr:cNvPicPr>
          <a:picLocks noChangeAspect="true"/>
        </xdr:cNvPicPr>
      </xdr:nvPicPr>
      <xdr:blipFill>
        <a:blip r:embed="rId7"/>
        <a:stretch>
          <a:fillRect/>
        </a:stretch>
      </xdr:blipFill>
      <xdr:spPr>
        <a:xfrm>
          <a:off x="9915525" y="5610225"/>
          <a:ext cx="5525135" cy="3014345"/>
        </a:xfrm>
        <a:prstGeom prst="rect">
          <a:avLst/>
        </a:prstGeom>
      </xdr:spPr>
    </xdr:pic>
    <xdr:clientData/>
  </xdr:twoCellAnchor>
  <xdr:twoCellAnchor editAs="oneCell">
    <xdr:from>
      <xdr:col>3</xdr:col>
      <xdr:colOff>228600</xdr:colOff>
      <xdr:row>39</xdr:row>
      <xdr:rowOff>142875</xdr:rowOff>
    </xdr:from>
    <xdr:to>
      <xdr:col>10</xdr:col>
      <xdr:colOff>600710</xdr:colOff>
      <xdr:row>46</xdr:row>
      <xdr:rowOff>161290</xdr:rowOff>
    </xdr:to>
    <xdr:pic>
      <xdr:nvPicPr>
        <xdr:cNvPr id="9" name="Picture 8" descr="Screenshot from 2021-06-10 08-36-41"/>
        <xdr:cNvPicPr>
          <a:picLocks noChangeAspect="true"/>
        </xdr:cNvPicPr>
      </xdr:nvPicPr>
      <xdr:blipFill>
        <a:blip r:embed="rId8"/>
        <a:stretch>
          <a:fillRect/>
        </a:stretch>
      </xdr:blipFill>
      <xdr:spPr>
        <a:xfrm>
          <a:off x="3533775" y="7943850"/>
          <a:ext cx="6239510" cy="1418590"/>
        </a:xfrm>
        <a:prstGeom prst="rect">
          <a:avLst/>
        </a:prstGeom>
      </xdr:spPr>
    </xdr:pic>
    <xdr:clientData/>
  </xdr:twoCellAnchor>
</xdr:wsDr>
</file>

<file path=xl/drawings/drawing21.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66675</xdr:colOff>
      <xdr:row>0</xdr:row>
      <xdr:rowOff>133350</xdr:rowOff>
    </xdr:from>
    <xdr:to>
      <xdr:col>8</xdr:col>
      <xdr:colOff>284480</xdr:colOff>
      <xdr:row>9</xdr:row>
      <xdr:rowOff>43180</xdr:rowOff>
    </xdr:to>
    <xdr:pic>
      <xdr:nvPicPr>
        <xdr:cNvPr id="2" name="Picture 1" descr="Screenshot from 2021-06-10 08-46-35"/>
        <xdr:cNvPicPr>
          <a:picLocks noChangeAspect="true"/>
        </xdr:cNvPicPr>
      </xdr:nvPicPr>
      <xdr:blipFill>
        <a:blip r:embed="rId1"/>
        <a:srcRect b="48489"/>
        <a:stretch>
          <a:fillRect/>
        </a:stretch>
      </xdr:blipFill>
      <xdr:spPr>
        <a:xfrm>
          <a:off x="3371850" y="133350"/>
          <a:ext cx="4408805" cy="1710055"/>
        </a:xfrm>
        <a:prstGeom prst="rect">
          <a:avLst/>
        </a:prstGeom>
      </xdr:spPr>
    </xdr:pic>
    <xdr:clientData/>
  </xdr:twoCellAnchor>
  <xdr:twoCellAnchor editAs="oneCell">
    <xdr:from>
      <xdr:col>4</xdr:col>
      <xdr:colOff>207010</xdr:colOff>
      <xdr:row>19</xdr:row>
      <xdr:rowOff>161925</xdr:rowOff>
    </xdr:from>
    <xdr:to>
      <xdr:col>11</xdr:col>
      <xdr:colOff>476250</xdr:colOff>
      <xdr:row>38</xdr:row>
      <xdr:rowOff>176530</xdr:rowOff>
    </xdr:to>
    <xdr:pic>
      <xdr:nvPicPr>
        <xdr:cNvPr id="3" name="Picture 2" descr="Screenshot from 2021-06-10 08-46-42"/>
        <xdr:cNvPicPr>
          <a:picLocks noChangeAspect="true"/>
        </xdr:cNvPicPr>
      </xdr:nvPicPr>
      <xdr:blipFill>
        <a:blip r:embed="rId2"/>
        <a:stretch>
          <a:fillRect/>
        </a:stretch>
      </xdr:blipFill>
      <xdr:spPr>
        <a:xfrm>
          <a:off x="4350385" y="3962400"/>
          <a:ext cx="6136640" cy="3815080"/>
        </a:xfrm>
        <a:prstGeom prst="rect">
          <a:avLst/>
        </a:prstGeom>
      </xdr:spPr>
    </xdr:pic>
    <xdr:clientData/>
  </xdr:twoCellAnchor>
  <xdr:twoCellAnchor editAs="oneCell">
    <xdr:from>
      <xdr:col>8</xdr:col>
      <xdr:colOff>481965</xdr:colOff>
      <xdr:row>10</xdr:row>
      <xdr:rowOff>46990</xdr:rowOff>
    </xdr:from>
    <xdr:to>
      <xdr:col>11</xdr:col>
      <xdr:colOff>466725</xdr:colOff>
      <xdr:row>20</xdr:row>
      <xdr:rowOff>70485</xdr:rowOff>
    </xdr:to>
    <xdr:pic>
      <xdr:nvPicPr>
        <xdr:cNvPr id="4" name="Picture 3" descr="Screenshot from 2021-06-10 08-46-56"/>
        <xdr:cNvPicPr>
          <a:picLocks noChangeAspect="true"/>
        </xdr:cNvPicPr>
      </xdr:nvPicPr>
      <xdr:blipFill>
        <a:blip r:embed="rId3"/>
        <a:stretch>
          <a:fillRect/>
        </a:stretch>
      </xdr:blipFill>
      <xdr:spPr>
        <a:xfrm>
          <a:off x="7978140" y="2047240"/>
          <a:ext cx="2499360" cy="2023745"/>
        </a:xfrm>
        <a:prstGeom prst="rect">
          <a:avLst/>
        </a:prstGeom>
      </xdr:spPr>
    </xdr:pic>
    <xdr:clientData/>
  </xdr:twoCellAnchor>
  <xdr:twoCellAnchor editAs="oneCell">
    <xdr:from>
      <xdr:col>8</xdr:col>
      <xdr:colOff>667385</xdr:colOff>
      <xdr:row>0</xdr:row>
      <xdr:rowOff>180975</xdr:rowOff>
    </xdr:from>
    <xdr:to>
      <xdr:col>11</xdr:col>
      <xdr:colOff>335915</xdr:colOff>
      <xdr:row>10</xdr:row>
      <xdr:rowOff>98425</xdr:rowOff>
    </xdr:to>
    <xdr:pic>
      <xdr:nvPicPr>
        <xdr:cNvPr id="5" name="Picture 4" descr="Screenshot from 2021-06-10 08-47-05"/>
        <xdr:cNvPicPr>
          <a:picLocks noChangeAspect="true"/>
        </xdr:cNvPicPr>
      </xdr:nvPicPr>
      <xdr:blipFill>
        <a:blip r:embed="rId4"/>
        <a:stretch>
          <a:fillRect/>
        </a:stretch>
      </xdr:blipFill>
      <xdr:spPr>
        <a:xfrm>
          <a:off x="8163560" y="180975"/>
          <a:ext cx="2183130" cy="1917700"/>
        </a:xfrm>
        <a:prstGeom prst="rect">
          <a:avLst/>
        </a:prstGeom>
      </xdr:spPr>
    </xdr:pic>
    <xdr:clientData/>
  </xdr:twoCellAnchor>
  <xdr:twoCellAnchor editAs="oneCell">
    <xdr:from>
      <xdr:col>11</xdr:col>
      <xdr:colOff>504825</xdr:colOff>
      <xdr:row>1</xdr:row>
      <xdr:rowOff>114300</xdr:rowOff>
    </xdr:from>
    <xdr:to>
      <xdr:col>13</xdr:col>
      <xdr:colOff>594995</xdr:colOff>
      <xdr:row>30</xdr:row>
      <xdr:rowOff>52070</xdr:rowOff>
    </xdr:to>
    <xdr:pic>
      <xdr:nvPicPr>
        <xdr:cNvPr id="6" name="Picture 5" descr="Screenshot from 2021-06-10 08-47-19"/>
        <xdr:cNvPicPr>
          <a:picLocks noChangeAspect="true"/>
        </xdr:cNvPicPr>
      </xdr:nvPicPr>
      <xdr:blipFill>
        <a:blip r:embed="rId5"/>
        <a:stretch>
          <a:fillRect/>
        </a:stretch>
      </xdr:blipFill>
      <xdr:spPr>
        <a:xfrm>
          <a:off x="10515600" y="314325"/>
          <a:ext cx="2118995" cy="5738495"/>
        </a:xfrm>
        <a:prstGeom prst="rect">
          <a:avLst/>
        </a:prstGeom>
      </xdr:spPr>
    </xdr:pic>
    <xdr:clientData/>
  </xdr:twoCellAnchor>
  <xdr:twoCellAnchor editAs="oneCell">
    <xdr:from>
      <xdr:col>3</xdr:col>
      <xdr:colOff>66675</xdr:colOff>
      <xdr:row>38</xdr:row>
      <xdr:rowOff>114300</xdr:rowOff>
    </xdr:from>
    <xdr:to>
      <xdr:col>7</xdr:col>
      <xdr:colOff>521970</xdr:colOff>
      <xdr:row>59</xdr:row>
      <xdr:rowOff>67945</xdr:rowOff>
    </xdr:to>
    <xdr:pic>
      <xdr:nvPicPr>
        <xdr:cNvPr id="7" name="Picture 6" descr="Screenshot from 2021-06-10 08-47-36"/>
        <xdr:cNvPicPr>
          <a:picLocks noChangeAspect="true"/>
        </xdr:cNvPicPr>
      </xdr:nvPicPr>
      <xdr:blipFill>
        <a:blip r:embed="rId6"/>
        <a:stretch>
          <a:fillRect/>
        </a:stretch>
      </xdr:blipFill>
      <xdr:spPr>
        <a:xfrm>
          <a:off x="3371850" y="7715250"/>
          <a:ext cx="3808095" cy="4154170"/>
        </a:xfrm>
        <a:prstGeom prst="rect">
          <a:avLst/>
        </a:prstGeom>
      </xdr:spPr>
    </xdr:pic>
    <xdr:clientData/>
  </xdr:twoCellAnchor>
  <xdr:twoCellAnchor editAs="oneCell">
    <xdr:from>
      <xdr:col>7</xdr:col>
      <xdr:colOff>581025</xdr:colOff>
      <xdr:row>39</xdr:row>
      <xdr:rowOff>47625</xdr:rowOff>
    </xdr:from>
    <xdr:to>
      <xdr:col>12</xdr:col>
      <xdr:colOff>60960</xdr:colOff>
      <xdr:row>64</xdr:row>
      <xdr:rowOff>133350</xdr:rowOff>
    </xdr:to>
    <xdr:pic>
      <xdr:nvPicPr>
        <xdr:cNvPr id="8" name="Picture 7" descr="Screenshot from 2021-06-10 08-47-46"/>
        <xdr:cNvPicPr>
          <a:picLocks noChangeAspect="true"/>
        </xdr:cNvPicPr>
      </xdr:nvPicPr>
      <xdr:blipFill>
        <a:blip r:embed="rId7"/>
        <a:stretch>
          <a:fillRect/>
        </a:stretch>
      </xdr:blipFill>
      <xdr:spPr>
        <a:xfrm>
          <a:off x="7239000" y="7848600"/>
          <a:ext cx="3670935" cy="5086350"/>
        </a:xfrm>
        <a:prstGeom prst="rect">
          <a:avLst/>
        </a:prstGeom>
      </xdr:spPr>
    </xdr:pic>
    <xdr:clientData/>
  </xdr:twoCellAnchor>
  <xdr:twoCellAnchor editAs="oneCell">
    <xdr:from>
      <xdr:col>14</xdr:col>
      <xdr:colOff>80645</xdr:colOff>
      <xdr:row>0</xdr:row>
      <xdr:rowOff>190500</xdr:rowOff>
    </xdr:from>
    <xdr:to>
      <xdr:col>18</xdr:col>
      <xdr:colOff>600075</xdr:colOff>
      <xdr:row>17</xdr:row>
      <xdr:rowOff>161290</xdr:rowOff>
    </xdr:to>
    <xdr:pic>
      <xdr:nvPicPr>
        <xdr:cNvPr id="9" name="Picture 8" descr="Screenshot from 2021-06-10 08-47-58"/>
        <xdr:cNvPicPr>
          <a:picLocks noChangeAspect="true"/>
        </xdr:cNvPicPr>
      </xdr:nvPicPr>
      <xdr:blipFill>
        <a:blip r:embed="rId8"/>
        <a:stretch>
          <a:fillRect/>
        </a:stretch>
      </xdr:blipFill>
      <xdr:spPr>
        <a:xfrm>
          <a:off x="12958445" y="190500"/>
          <a:ext cx="3872230" cy="3371215"/>
        </a:xfrm>
        <a:prstGeom prst="rect">
          <a:avLst/>
        </a:prstGeom>
      </xdr:spPr>
    </xdr:pic>
    <xdr:clientData/>
  </xdr:twoCellAnchor>
  <xdr:twoCellAnchor editAs="oneCell">
    <xdr:from>
      <xdr:col>14</xdr:col>
      <xdr:colOff>171450</xdr:colOff>
      <xdr:row>20</xdr:row>
      <xdr:rowOff>38100</xdr:rowOff>
    </xdr:from>
    <xdr:to>
      <xdr:col>18</xdr:col>
      <xdr:colOff>219710</xdr:colOff>
      <xdr:row>34</xdr:row>
      <xdr:rowOff>152400</xdr:rowOff>
    </xdr:to>
    <xdr:pic>
      <xdr:nvPicPr>
        <xdr:cNvPr id="10" name="Picture 9" descr="Screenshot from 2021-06-10 08-52-23"/>
        <xdr:cNvPicPr>
          <a:picLocks noChangeAspect="true"/>
        </xdr:cNvPicPr>
      </xdr:nvPicPr>
      <xdr:blipFill>
        <a:blip r:embed="rId9"/>
        <a:stretch>
          <a:fillRect/>
        </a:stretch>
      </xdr:blipFill>
      <xdr:spPr>
        <a:xfrm>
          <a:off x="13049250" y="4038600"/>
          <a:ext cx="3401060" cy="2914650"/>
        </a:xfrm>
        <a:prstGeom prst="rect">
          <a:avLst/>
        </a:prstGeom>
      </xdr:spPr>
    </xdr:pic>
    <xdr:clientData/>
  </xdr:twoCellAnchor>
  <xdr:twoCellAnchor editAs="oneCell">
    <xdr:from>
      <xdr:col>12</xdr:col>
      <xdr:colOff>247650</xdr:colOff>
      <xdr:row>36</xdr:row>
      <xdr:rowOff>172720</xdr:rowOff>
    </xdr:from>
    <xdr:to>
      <xdr:col>16</xdr:col>
      <xdr:colOff>114300</xdr:colOff>
      <xdr:row>52</xdr:row>
      <xdr:rowOff>171450</xdr:rowOff>
    </xdr:to>
    <xdr:pic>
      <xdr:nvPicPr>
        <xdr:cNvPr id="11" name="Picture 10" descr="Screenshot from 2021-06-10 08-52-36"/>
        <xdr:cNvPicPr>
          <a:picLocks noChangeAspect="true"/>
        </xdr:cNvPicPr>
      </xdr:nvPicPr>
      <xdr:blipFill>
        <a:blip r:embed="rId10"/>
        <a:stretch>
          <a:fillRect/>
        </a:stretch>
      </xdr:blipFill>
      <xdr:spPr>
        <a:xfrm>
          <a:off x="11096625" y="7373620"/>
          <a:ext cx="3571875" cy="3199130"/>
        </a:xfrm>
        <a:prstGeom prst="rect">
          <a:avLst/>
        </a:prstGeom>
      </xdr:spPr>
    </xdr:pic>
    <xdr:clientData/>
  </xdr:twoCellAnchor>
</xdr:wsDr>
</file>

<file path=xl/drawings/drawing22.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53340</xdr:colOff>
      <xdr:row>16</xdr:row>
      <xdr:rowOff>66040</xdr:rowOff>
    </xdr:from>
    <xdr:to>
      <xdr:col>9</xdr:col>
      <xdr:colOff>256540</xdr:colOff>
      <xdr:row>39</xdr:row>
      <xdr:rowOff>0</xdr:rowOff>
    </xdr:to>
    <xdr:pic>
      <xdr:nvPicPr>
        <xdr:cNvPr id="2" name="Picture 1" descr="Screenshot from 2021-06-10 09-11-43"/>
        <xdr:cNvPicPr>
          <a:picLocks noChangeAspect="true"/>
        </xdr:cNvPicPr>
      </xdr:nvPicPr>
      <xdr:blipFill>
        <a:blip r:embed="rId1"/>
        <a:stretch>
          <a:fillRect/>
        </a:stretch>
      </xdr:blipFill>
      <xdr:spPr>
        <a:xfrm>
          <a:off x="4196715" y="3266440"/>
          <a:ext cx="4394200" cy="4534535"/>
        </a:xfrm>
        <a:prstGeom prst="rect">
          <a:avLst/>
        </a:prstGeom>
      </xdr:spPr>
    </xdr:pic>
    <xdr:clientData/>
  </xdr:twoCellAnchor>
  <xdr:twoCellAnchor editAs="oneCell">
    <xdr:from>
      <xdr:col>0</xdr:col>
      <xdr:colOff>635</xdr:colOff>
      <xdr:row>45</xdr:row>
      <xdr:rowOff>190500</xdr:rowOff>
    </xdr:from>
    <xdr:to>
      <xdr:col>5</xdr:col>
      <xdr:colOff>677545</xdr:colOff>
      <xdr:row>69</xdr:row>
      <xdr:rowOff>35560</xdr:rowOff>
    </xdr:to>
    <xdr:pic>
      <xdr:nvPicPr>
        <xdr:cNvPr id="3" name="Picture 2" descr="Screenshot from 2021-06-10 09-11-52"/>
        <xdr:cNvPicPr>
          <a:picLocks noChangeAspect="true"/>
        </xdr:cNvPicPr>
      </xdr:nvPicPr>
      <xdr:blipFill>
        <a:blip r:embed="rId2"/>
        <a:stretch>
          <a:fillRect/>
        </a:stretch>
      </xdr:blipFill>
      <xdr:spPr>
        <a:xfrm>
          <a:off x="635" y="9191625"/>
          <a:ext cx="5658485" cy="4645660"/>
        </a:xfrm>
        <a:prstGeom prst="rect">
          <a:avLst/>
        </a:prstGeom>
      </xdr:spPr>
    </xdr:pic>
    <xdr:clientData/>
  </xdr:twoCellAnchor>
  <xdr:twoCellAnchor editAs="oneCell">
    <xdr:from>
      <xdr:col>10</xdr:col>
      <xdr:colOff>419100</xdr:colOff>
      <xdr:row>1</xdr:row>
      <xdr:rowOff>38100</xdr:rowOff>
    </xdr:from>
    <xdr:to>
      <xdr:col>17</xdr:col>
      <xdr:colOff>347345</xdr:colOff>
      <xdr:row>20</xdr:row>
      <xdr:rowOff>51435</xdr:rowOff>
    </xdr:to>
    <xdr:pic>
      <xdr:nvPicPr>
        <xdr:cNvPr id="4" name="Picture 3" descr="Screenshot from 2021-06-10 09-12-00"/>
        <xdr:cNvPicPr>
          <a:picLocks noChangeAspect="true"/>
        </xdr:cNvPicPr>
      </xdr:nvPicPr>
      <xdr:blipFill>
        <a:blip r:embed="rId3"/>
        <a:stretch>
          <a:fillRect/>
        </a:stretch>
      </xdr:blipFill>
      <xdr:spPr>
        <a:xfrm>
          <a:off x="9591675" y="238125"/>
          <a:ext cx="5795645" cy="3813810"/>
        </a:xfrm>
        <a:prstGeom prst="rect">
          <a:avLst/>
        </a:prstGeom>
      </xdr:spPr>
    </xdr:pic>
    <xdr:clientData/>
  </xdr:twoCellAnchor>
  <xdr:twoCellAnchor editAs="oneCell">
    <xdr:from>
      <xdr:col>3</xdr:col>
      <xdr:colOff>790575</xdr:colOff>
      <xdr:row>1</xdr:row>
      <xdr:rowOff>28575</xdr:rowOff>
    </xdr:from>
    <xdr:to>
      <xdr:col>10</xdr:col>
      <xdr:colOff>645160</xdr:colOff>
      <xdr:row>7</xdr:row>
      <xdr:rowOff>66675</xdr:rowOff>
    </xdr:to>
    <xdr:pic>
      <xdr:nvPicPr>
        <xdr:cNvPr id="5" name="Picture 4" descr="Screenshot from 2021-06-10 09-12-07"/>
        <xdr:cNvPicPr>
          <a:picLocks noChangeAspect="true"/>
        </xdr:cNvPicPr>
      </xdr:nvPicPr>
      <xdr:blipFill>
        <a:blip r:embed="rId4"/>
        <a:stretch>
          <a:fillRect/>
        </a:stretch>
      </xdr:blipFill>
      <xdr:spPr>
        <a:xfrm>
          <a:off x="4095750" y="228600"/>
          <a:ext cx="5721985" cy="1238250"/>
        </a:xfrm>
        <a:prstGeom prst="rect">
          <a:avLst/>
        </a:prstGeom>
      </xdr:spPr>
    </xdr:pic>
    <xdr:clientData/>
  </xdr:twoCellAnchor>
  <xdr:twoCellAnchor editAs="oneCell">
    <xdr:from>
      <xdr:col>4</xdr:col>
      <xdr:colOff>408940</xdr:colOff>
      <xdr:row>6</xdr:row>
      <xdr:rowOff>193040</xdr:rowOff>
    </xdr:from>
    <xdr:to>
      <xdr:col>9</xdr:col>
      <xdr:colOff>422910</xdr:colOff>
      <xdr:row>15</xdr:row>
      <xdr:rowOff>66675</xdr:rowOff>
    </xdr:to>
    <xdr:pic>
      <xdr:nvPicPr>
        <xdr:cNvPr id="6" name="Picture 5" descr="Screenshot from 2021-06-10 09-12-12"/>
        <xdr:cNvPicPr>
          <a:picLocks noChangeAspect="true"/>
        </xdr:cNvPicPr>
      </xdr:nvPicPr>
      <xdr:blipFill>
        <a:blip r:embed="rId5"/>
        <a:stretch>
          <a:fillRect/>
        </a:stretch>
      </xdr:blipFill>
      <xdr:spPr>
        <a:xfrm>
          <a:off x="4552315" y="1393190"/>
          <a:ext cx="4204970" cy="1673860"/>
        </a:xfrm>
        <a:prstGeom prst="rect">
          <a:avLst/>
        </a:prstGeom>
      </xdr:spPr>
    </xdr:pic>
    <xdr:clientData/>
  </xdr:twoCellAnchor>
  <xdr:twoCellAnchor editAs="oneCell">
    <xdr:from>
      <xdr:col>9</xdr:col>
      <xdr:colOff>762000</xdr:colOff>
      <xdr:row>39</xdr:row>
      <xdr:rowOff>85725</xdr:rowOff>
    </xdr:from>
    <xdr:to>
      <xdr:col>16</xdr:col>
      <xdr:colOff>558800</xdr:colOff>
      <xdr:row>69</xdr:row>
      <xdr:rowOff>31115</xdr:rowOff>
    </xdr:to>
    <xdr:pic>
      <xdr:nvPicPr>
        <xdr:cNvPr id="7" name="Picture 6" descr="Screenshot from 2021-06-10 09-12-41"/>
        <xdr:cNvPicPr>
          <a:picLocks noChangeAspect="true"/>
        </xdr:cNvPicPr>
      </xdr:nvPicPr>
      <xdr:blipFill>
        <a:blip r:embed="rId6"/>
        <a:stretch>
          <a:fillRect/>
        </a:stretch>
      </xdr:blipFill>
      <xdr:spPr>
        <a:xfrm>
          <a:off x="9096375" y="7886700"/>
          <a:ext cx="5664200" cy="5946140"/>
        </a:xfrm>
        <a:prstGeom prst="rect">
          <a:avLst/>
        </a:prstGeom>
      </xdr:spPr>
    </xdr:pic>
    <xdr:clientData/>
  </xdr:twoCellAnchor>
  <xdr:twoCellAnchor editAs="oneCell">
    <xdr:from>
      <xdr:col>3</xdr:col>
      <xdr:colOff>95250</xdr:colOff>
      <xdr:row>39</xdr:row>
      <xdr:rowOff>123825</xdr:rowOff>
    </xdr:from>
    <xdr:to>
      <xdr:col>9</xdr:col>
      <xdr:colOff>675640</xdr:colOff>
      <xdr:row>45</xdr:row>
      <xdr:rowOff>168275</xdr:rowOff>
    </xdr:to>
    <xdr:pic>
      <xdr:nvPicPr>
        <xdr:cNvPr id="8" name="Picture 7" descr="Screenshot from 2021-06-10 09-12-52"/>
        <xdr:cNvPicPr>
          <a:picLocks noChangeAspect="true"/>
        </xdr:cNvPicPr>
      </xdr:nvPicPr>
      <xdr:blipFill>
        <a:blip r:embed="rId7"/>
        <a:stretch>
          <a:fillRect/>
        </a:stretch>
      </xdr:blipFill>
      <xdr:spPr>
        <a:xfrm>
          <a:off x="3400425" y="7924800"/>
          <a:ext cx="5609590" cy="1244600"/>
        </a:xfrm>
        <a:prstGeom prst="rect">
          <a:avLst/>
        </a:prstGeom>
      </xdr:spPr>
    </xdr:pic>
    <xdr:clientData/>
  </xdr:twoCellAnchor>
  <xdr:twoCellAnchor editAs="oneCell">
    <xdr:from>
      <xdr:col>9</xdr:col>
      <xdr:colOff>409575</xdr:colOff>
      <xdr:row>21</xdr:row>
      <xdr:rowOff>104775</xdr:rowOff>
    </xdr:from>
    <xdr:to>
      <xdr:col>15</xdr:col>
      <xdr:colOff>311785</xdr:colOff>
      <xdr:row>38</xdr:row>
      <xdr:rowOff>151130</xdr:rowOff>
    </xdr:to>
    <xdr:pic>
      <xdr:nvPicPr>
        <xdr:cNvPr id="9" name="Picture 8" descr="Screenshot from 2021-06-10 09-13-06"/>
        <xdr:cNvPicPr>
          <a:picLocks noChangeAspect="true"/>
        </xdr:cNvPicPr>
      </xdr:nvPicPr>
      <xdr:blipFill>
        <a:blip r:embed="rId8"/>
        <a:stretch>
          <a:fillRect/>
        </a:stretch>
      </xdr:blipFill>
      <xdr:spPr>
        <a:xfrm>
          <a:off x="8743950" y="4305300"/>
          <a:ext cx="4931410" cy="3446780"/>
        </a:xfrm>
        <a:prstGeom prst="rect">
          <a:avLst/>
        </a:prstGeom>
      </xdr:spPr>
    </xdr:pic>
    <xdr:clientData/>
  </xdr:twoCellAnchor>
</xdr:wsDr>
</file>

<file path=xl/drawings/drawing2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771525</xdr:colOff>
      <xdr:row>0</xdr:row>
      <xdr:rowOff>171450</xdr:rowOff>
    </xdr:from>
    <xdr:to>
      <xdr:col>9</xdr:col>
      <xdr:colOff>24765</xdr:colOff>
      <xdr:row>23</xdr:row>
      <xdr:rowOff>193675</xdr:rowOff>
    </xdr:to>
    <xdr:pic>
      <xdr:nvPicPr>
        <xdr:cNvPr id="2" name="Picture 1" descr="Screenshot from 2021-06-10 09-21-34"/>
        <xdr:cNvPicPr>
          <a:picLocks noChangeAspect="true"/>
        </xdr:cNvPicPr>
      </xdr:nvPicPr>
      <xdr:blipFill>
        <a:blip r:embed="rId1"/>
        <a:stretch>
          <a:fillRect/>
        </a:stretch>
      </xdr:blipFill>
      <xdr:spPr>
        <a:xfrm>
          <a:off x="4076700" y="171450"/>
          <a:ext cx="4282440" cy="4622800"/>
        </a:xfrm>
        <a:prstGeom prst="rect">
          <a:avLst/>
        </a:prstGeom>
      </xdr:spPr>
    </xdr:pic>
    <xdr:clientData/>
  </xdr:twoCellAnchor>
  <xdr:twoCellAnchor editAs="oneCell">
    <xdr:from>
      <xdr:col>4</xdr:col>
      <xdr:colOff>38100</xdr:colOff>
      <xdr:row>24</xdr:row>
      <xdr:rowOff>161925</xdr:rowOff>
    </xdr:from>
    <xdr:to>
      <xdr:col>10</xdr:col>
      <xdr:colOff>584835</xdr:colOff>
      <xdr:row>35</xdr:row>
      <xdr:rowOff>68580</xdr:rowOff>
    </xdr:to>
    <xdr:pic>
      <xdr:nvPicPr>
        <xdr:cNvPr id="3" name="Picture 2" descr="Screenshot from 2021-06-10 09-21-41"/>
        <xdr:cNvPicPr>
          <a:picLocks noChangeAspect="true"/>
        </xdr:cNvPicPr>
      </xdr:nvPicPr>
      <xdr:blipFill>
        <a:blip r:embed="rId2"/>
        <a:stretch>
          <a:fillRect/>
        </a:stretch>
      </xdr:blipFill>
      <xdr:spPr>
        <a:xfrm>
          <a:off x="4181475" y="4962525"/>
          <a:ext cx="5575935" cy="2106930"/>
        </a:xfrm>
        <a:prstGeom prst="rect">
          <a:avLst/>
        </a:prstGeom>
      </xdr:spPr>
    </xdr:pic>
    <xdr:clientData/>
  </xdr:twoCellAnchor>
  <xdr:twoCellAnchor editAs="oneCell">
    <xdr:from>
      <xdr:col>8</xdr:col>
      <xdr:colOff>828675</xdr:colOff>
      <xdr:row>2</xdr:row>
      <xdr:rowOff>0</xdr:rowOff>
    </xdr:from>
    <xdr:to>
      <xdr:col>13</xdr:col>
      <xdr:colOff>347345</xdr:colOff>
      <xdr:row>8</xdr:row>
      <xdr:rowOff>1905</xdr:rowOff>
    </xdr:to>
    <xdr:pic>
      <xdr:nvPicPr>
        <xdr:cNvPr id="4" name="Picture 3" descr="Screenshot from 2021-06-10 09-21-48"/>
        <xdr:cNvPicPr>
          <a:picLocks noChangeAspect="true"/>
        </xdr:cNvPicPr>
      </xdr:nvPicPr>
      <xdr:blipFill>
        <a:blip r:embed="rId3"/>
        <a:stretch>
          <a:fillRect/>
        </a:stretch>
      </xdr:blipFill>
      <xdr:spPr>
        <a:xfrm>
          <a:off x="8324850" y="400050"/>
          <a:ext cx="3709670" cy="1202055"/>
        </a:xfrm>
        <a:prstGeom prst="rect">
          <a:avLst/>
        </a:prstGeom>
      </xdr:spPr>
    </xdr:pic>
    <xdr:clientData/>
  </xdr:twoCellAnchor>
  <xdr:twoCellAnchor editAs="oneCell">
    <xdr:from>
      <xdr:col>11</xdr:col>
      <xdr:colOff>390525</xdr:colOff>
      <xdr:row>27</xdr:row>
      <xdr:rowOff>142875</xdr:rowOff>
    </xdr:from>
    <xdr:to>
      <xdr:col>18</xdr:col>
      <xdr:colOff>60325</xdr:colOff>
      <xdr:row>35</xdr:row>
      <xdr:rowOff>146050</xdr:rowOff>
    </xdr:to>
    <xdr:pic>
      <xdr:nvPicPr>
        <xdr:cNvPr id="5" name="Picture 4" descr="Screenshot from 2021-06-10 09-21-53"/>
        <xdr:cNvPicPr>
          <a:picLocks noChangeAspect="true"/>
        </xdr:cNvPicPr>
      </xdr:nvPicPr>
      <xdr:blipFill>
        <a:blip r:embed="rId4"/>
        <a:stretch>
          <a:fillRect/>
        </a:stretch>
      </xdr:blipFill>
      <xdr:spPr>
        <a:xfrm>
          <a:off x="10401300" y="5543550"/>
          <a:ext cx="5537200" cy="1603375"/>
        </a:xfrm>
        <a:prstGeom prst="rect">
          <a:avLst/>
        </a:prstGeom>
      </xdr:spPr>
    </xdr:pic>
    <xdr:clientData/>
  </xdr:twoCellAnchor>
  <xdr:twoCellAnchor editAs="oneCell">
    <xdr:from>
      <xdr:col>3</xdr:col>
      <xdr:colOff>400050</xdr:colOff>
      <xdr:row>36</xdr:row>
      <xdr:rowOff>28575</xdr:rowOff>
    </xdr:from>
    <xdr:to>
      <xdr:col>10</xdr:col>
      <xdr:colOff>108585</xdr:colOff>
      <xdr:row>48</xdr:row>
      <xdr:rowOff>164465</xdr:rowOff>
    </xdr:to>
    <xdr:pic>
      <xdr:nvPicPr>
        <xdr:cNvPr id="6" name="Picture 5" descr="Screenshot from 2021-06-10 09-22-46"/>
        <xdr:cNvPicPr>
          <a:picLocks noChangeAspect="true"/>
        </xdr:cNvPicPr>
      </xdr:nvPicPr>
      <xdr:blipFill>
        <a:blip r:embed="rId5"/>
        <a:stretch>
          <a:fillRect/>
        </a:stretch>
      </xdr:blipFill>
      <xdr:spPr>
        <a:xfrm>
          <a:off x="3705225" y="7229475"/>
          <a:ext cx="5575935" cy="2536190"/>
        </a:xfrm>
        <a:prstGeom prst="rect">
          <a:avLst/>
        </a:prstGeom>
      </xdr:spPr>
    </xdr:pic>
    <xdr:clientData/>
  </xdr:twoCellAnchor>
  <xdr:twoCellAnchor editAs="oneCell">
    <xdr:from>
      <xdr:col>13</xdr:col>
      <xdr:colOff>409575</xdr:colOff>
      <xdr:row>2</xdr:row>
      <xdr:rowOff>66675</xdr:rowOff>
    </xdr:from>
    <xdr:to>
      <xdr:col>20</xdr:col>
      <xdr:colOff>33655</xdr:colOff>
      <xdr:row>8</xdr:row>
      <xdr:rowOff>137795</xdr:rowOff>
    </xdr:to>
    <xdr:pic>
      <xdr:nvPicPr>
        <xdr:cNvPr id="7" name="Picture 6" descr="Screenshot from 2021-06-10 09-22-56"/>
        <xdr:cNvPicPr>
          <a:picLocks noChangeAspect="true"/>
        </xdr:cNvPicPr>
      </xdr:nvPicPr>
      <xdr:blipFill>
        <a:blip r:embed="rId6"/>
        <a:stretch>
          <a:fillRect/>
        </a:stretch>
      </xdr:blipFill>
      <xdr:spPr>
        <a:xfrm>
          <a:off x="12096750" y="466725"/>
          <a:ext cx="5491480" cy="1271270"/>
        </a:xfrm>
        <a:prstGeom prst="rect">
          <a:avLst/>
        </a:prstGeom>
      </xdr:spPr>
    </xdr:pic>
    <xdr:clientData/>
  </xdr:twoCellAnchor>
  <xdr:twoCellAnchor editAs="oneCell">
    <xdr:from>
      <xdr:col>10</xdr:col>
      <xdr:colOff>590550</xdr:colOff>
      <xdr:row>9</xdr:row>
      <xdr:rowOff>133350</xdr:rowOff>
    </xdr:from>
    <xdr:to>
      <xdr:col>17</xdr:col>
      <xdr:colOff>309880</xdr:colOff>
      <xdr:row>26</xdr:row>
      <xdr:rowOff>190500</xdr:rowOff>
    </xdr:to>
    <xdr:pic>
      <xdr:nvPicPr>
        <xdr:cNvPr id="8" name="Picture 7" descr="Screenshot from 2021-06-10 09-23-13"/>
        <xdr:cNvPicPr>
          <a:picLocks noChangeAspect="true"/>
        </xdr:cNvPicPr>
      </xdr:nvPicPr>
      <xdr:blipFill>
        <a:blip r:embed="rId7"/>
        <a:stretch>
          <a:fillRect/>
        </a:stretch>
      </xdr:blipFill>
      <xdr:spPr>
        <a:xfrm>
          <a:off x="9763125" y="1933575"/>
          <a:ext cx="5586730" cy="345757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104775</xdr:colOff>
      <xdr:row>46</xdr:row>
      <xdr:rowOff>133350</xdr:rowOff>
    </xdr:from>
    <xdr:to>
      <xdr:col>18</xdr:col>
      <xdr:colOff>209550</xdr:colOff>
      <xdr:row>68</xdr:row>
      <xdr:rowOff>53340</xdr:rowOff>
    </xdr:to>
    <xdr:pic>
      <xdr:nvPicPr>
        <xdr:cNvPr id="2" name="Picture 1" descr="Screenshot from 2021-06-08 11-41-29"/>
        <xdr:cNvPicPr>
          <a:picLocks noChangeAspect="true"/>
        </xdr:cNvPicPr>
      </xdr:nvPicPr>
      <xdr:blipFill>
        <a:blip r:embed="rId1"/>
        <a:stretch>
          <a:fillRect/>
        </a:stretch>
      </xdr:blipFill>
      <xdr:spPr>
        <a:xfrm>
          <a:off x="7600950" y="9334500"/>
          <a:ext cx="8486775" cy="4320540"/>
        </a:xfrm>
        <a:prstGeom prst="rect">
          <a:avLst/>
        </a:prstGeom>
      </xdr:spPr>
    </xdr:pic>
    <xdr:clientData/>
  </xdr:twoCellAnchor>
  <xdr:twoCellAnchor editAs="oneCell">
    <xdr:from>
      <xdr:col>3</xdr:col>
      <xdr:colOff>476250</xdr:colOff>
      <xdr:row>24</xdr:row>
      <xdr:rowOff>161925</xdr:rowOff>
    </xdr:from>
    <xdr:to>
      <xdr:col>12</xdr:col>
      <xdr:colOff>352425</xdr:colOff>
      <xdr:row>48</xdr:row>
      <xdr:rowOff>24130</xdr:rowOff>
    </xdr:to>
    <xdr:pic>
      <xdr:nvPicPr>
        <xdr:cNvPr id="3" name="Picture 2" descr="Screenshot from 2021-06-08 11-41-39"/>
        <xdr:cNvPicPr>
          <a:picLocks noChangeAspect="true"/>
        </xdr:cNvPicPr>
      </xdr:nvPicPr>
      <xdr:blipFill>
        <a:blip r:embed="rId2"/>
        <a:stretch>
          <a:fillRect/>
        </a:stretch>
      </xdr:blipFill>
      <xdr:spPr>
        <a:xfrm>
          <a:off x="3781425" y="4962525"/>
          <a:ext cx="7419975" cy="4662805"/>
        </a:xfrm>
        <a:prstGeom prst="rect">
          <a:avLst/>
        </a:prstGeom>
      </xdr:spPr>
    </xdr:pic>
    <xdr:clientData/>
  </xdr:twoCellAnchor>
  <xdr:twoCellAnchor editAs="oneCell">
    <xdr:from>
      <xdr:col>0</xdr:col>
      <xdr:colOff>635</xdr:colOff>
      <xdr:row>48</xdr:row>
      <xdr:rowOff>0</xdr:rowOff>
    </xdr:from>
    <xdr:to>
      <xdr:col>8</xdr:col>
      <xdr:colOff>64770</xdr:colOff>
      <xdr:row>68</xdr:row>
      <xdr:rowOff>5715</xdr:rowOff>
    </xdr:to>
    <xdr:pic>
      <xdr:nvPicPr>
        <xdr:cNvPr id="4" name="Picture 3" descr="Screenshot from 2021-06-08 11-41-59"/>
        <xdr:cNvPicPr>
          <a:picLocks noChangeAspect="true"/>
        </xdr:cNvPicPr>
      </xdr:nvPicPr>
      <xdr:blipFill>
        <a:blip r:embed="rId3"/>
        <a:stretch>
          <a:fillRect/>
        </a:stretch>
      </xdr:blipFill>
      <xdr:spPr>
        <a:xfrm>
          <a:off x="635" y="9601200"/>
          <a:ext cx="7560310" cy="4006215"/>
        </a:xfrm>
        <a:prstGeom prst="rect">
          <a:avLst/>
        </a:prstGeom>
      </xdr:spPr>
    </xdr:pic>
    <xdr:clientData/>
  </xdr:twoCellAnchor>
  <xdr:twoCellAnchor editAs="oneCell">
    <xdr:from>
      <xdr:col>3</xdr:col>
      <xdr:colOff>467677</xdr:colOff>
      <xdr:row>2</xdr:row>
      <xdr:rowOff>6667</xdr:rowOff>
    </xdr:from>
    <xdr:to>
      <xdr:col>15</xdr:col>
      <xdr:colOff>467677</xdr:colOff>
      <xdr:row>17</xdr:row>
      <xdr:rowOff>77787</xdr:rowOff>
    </xdr:to>
    <xdr:pic>
      <xdr:nvPicPr>
        <xdr:cNvPr id="5" name="Picture 4" descr="Screenshot from 2021-06-08 11-42-06"/>
        <xdr:cNvPicPr>
          <a:picLocks noChangeAspect="true"/>
        </xdr:cNvPicPr>
      </xdr:nvPicPr>
      <xdr:blipFill>
        <a:blip r:embed="rId4"/>
        <a:stretch>
          <a:fillRect/>
        </a:stretch>
      </xdr:blipFill>
      <xdr:spPr>
        <a:xfrm rot="5400000">
          <a:off x="7265670" y="-3086735"/>
          <a:ext cx="3071495" cy="10057765"/>
        </a:xfrm>
        <a:prstGeom prst="rect">
          <a:avLst/>
        </a:prstGeom>
      </xdr:spPr>
    </xdr:pic>
    <xdr:clientData/>
  </xdr:twoCellAnchor>
  <xdr:twoCellAnchor editAs="oneCell">
    <xdr:from>
      <xdr:col>4</xdr:col>
      <xdr:colOff>695325</xdr:colOff>
      <xdr:row>18</xdr:row>
      <xdr:rowOff>47625</xdr:rowOff>
    </xdr:from>
    <xdr:to>
      <xdr:col>12</xdr:col>
      <xdr:colOff>714375</xdr:colOff>
      <xdr:row>23</xdr:row>
      <xdr:rowOff>142875</xdr:rowOff>
    </xdr:to>
    <xdr:pic>
      <xdr:nvPicPr>
        <xdr:cNvPr id="6" name="Picture 5" descr="Screenshot from 2021-06-08 11-45-35"/>
        <xdr:cNvPicPr>
          <a:picLocks noChangeAspect="true"/>
        </xdr:cNvPicPr>
      </xdr:nvPicPr>
      <xdr:blipFill>
        <a:blip r:embed="rId5"/>
        <a:stretch>
          <a:fillRect/>
        </a:stretch>
      </xdr:blipFill>
      <xdr:spPr>
        <a:xfrm>
          <a:off x="4838700" y="3648075"/>
          <a:ext cx="6724650" cy="1095375"/>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695325</xdr:colOff>
      <xdr:row>0</xdr:row>
      <xdr:rowOff>121285</xdr:rowOff>
    </xdr:from>
    <xdr:to>
      <xdr:col>12</xdr:col>
      <xdr:colOff>637540</xdr:colOff>
      <xdr:row>29</xdr:row>
      <xdr:rowOff>178435</xdr:rowOff>
    </xdr:to>
    <xdr:pic>
      <xdr:nvPicPr>
        <xdr:cNvPr id="2" name="Picture 1" descr="Screenshot from 2021-06-21 10-11-08"/>
        <xdr:cNvPicPr>
          <a:picLocks noChangeAspect="true"/>
        </xdr:cNvPicPr>
      </xdr:nvPicPr>
      <xdr:blipFill>
        <a:blip r:embed="rId1"/>
        <a:stretch>
          <a:fillRect/>
        </a:stretch>
      </xdr:blipFill>
      <xdr:spPr>
        <a:xfrm>
          <a:off x="3990975" y="121285"/>
          <a:ext cx="7486015" cy="5857875"/>
        </a:xfrm>
        <a:prstGeom prst="rect">
          <a:avLst/>
        </a:prstGeom>
      </xdr:spPr>
    </xdr:pic>
    <xdr:clientData/>
  </xdr:twoCellAnchor>
  <xdr:twoCellAnchor editAs="oneCell">
    <xdr:from>
      <xdr:col>10</xdr:col>
      <xdr:colOff>476250</xdr:colOff>
      <xdr:row>66</xdr:row>
      <xdr:rowOff>9525</xdr:rowOff>
    </xdr:from>
    <xdr:to>
      <xdr:col>18</xdr:col>
      <xdr:colOff>127635</xdr:colOff>
      <xdr:row>81</xdr:row>
      <xdr:rowOff>166370</xdr:rowOff>
    </xdr:to>
    <xdr:pic>
      <xdr:nvPicPr>
        <xdr:cNvPr id="3" name="Picture 2" descr="Screenshot from 2021-06-21 10-11-17"/>
        <xdr:cNvPicPr>
          <a:picLocks noChangeAspect="true"/>
        </xdr:cNvPicPr>
      </xdr:nvPicPr>
      <xdr:blipFill>
        <a:blip r:embed="rId2"/>
        <a:stretch>
          <a:fillRect/>
        </a:stretch>
      </xdr:blipFill>
      <xdr:spPr>
        <a:xfrm>
          <a:off x="9639300" y="13211175"/>
          <a:ext cx="6356985" cy="3157220"/>
        </a:xfrm>
        <a:prstGeom prst="rect">
          <a:avLst/>
        </a:prstGeom>
      </xdr:spPr>
    </xdr:pic>
    <xdr:clientData/>
  </xdr:twoCellAnchor>
  <xdr:twoCellAnchor editAs="oneCell">
    <xdr:from>
      <xdr:col>11</xdr:col>
      <xdr:colOff>66675</xdr:colOff>
      <xdr:row>51</xdr:row>
      <xdr:rowOff>85725</xdr:rowOff>
    </xdr:from>
    <xdr:to>
      <xdr:col>18</xdr:col>
      <xdr:colOff>647700</xdr:colOff>
      <xdr:row>62</xdr:row>
      <xdr:rowOff>6350</xdr:rowOff>
    </xdr:to>
    <xdr:pic>
      <xdr:nvPicPr>
        <xdr:cNvPr id="4" name="Picture 3" descr="Screenshot from 2021-06-21 10-11-24"/>
        <xdr:cNvPicPr>
          <a:picLocks noChangeAspect="true"/>
        </xdr:cNvPicPr>
      </xdr:nvPicPr>
      <xdr:blipFill>
        <a:blip r:embed="rId3"/>
        <a:stretch>
          <a:fillRect/>
        </a:stretch>
      </xdr:blipFill>
      <xdr:spPr>
        <a:xfrm>
          <a:off x="10067925" y="10287000"/>
          <a:ext cx="6448425" cy="2120900"/>
        </a:xfrm>
        <a:prstGeom prst="rect">
          <a:avLst/>
        </a:prstGeom>
      </xdr:spPr>
    </xdr:pic>
    <xdr:clientData/>
  </xdr:twoCellAnchor>
  <xdr:twoCellAnchor editAs="oneCell">
    <xdr:from>
      <xdr:col>5</xdr:col>
      <xdr:colOff>638175</xdr:colOff>
      <xdr:row>49</xdr:row>
      <xdr:rowOff>0</xdr:rowOff>
    </xdr:from>
    <xdr:to>
      <xdr:col>10</xdr:col>
      <xdr:colOff>575310</xdr:colOff>
      <xdr:row>76</xdr:row>
      <xdr:rowOff>132080</xdr:rowOff>
    </xdr:to>
    <xdr:pic>
      <xdr:nvPicPr>
        <xdr:cNvPr id="5" name="Picture 4" descr="Screenshot from 2021-06-21 10-11-34"/>
        <xdr:cNvPicPr>
          <a:picLocks noChangeAspect="true"/>
        </xdr:cNvPicPr>
      </xdr:nvPicPr>
      <xdr:blipFill>
        <a:blip r:embed="rId4"/>
        <a:stretch>
          <a:fillRect/>
        </a:stretch>
      </xdr:blipFill>
      <xdr:spPr>
        <a:xfrm>
          <a:off x="5610225" y="9801225"/>
          <a:ext cx="4128135" cy="5532755"/>
        </a:xfrm>
        <a:prstGeom prst="rect">
          <a:avLst/>
        </a:prstGeom>
      </xdr:spPr>
    </xdr:pic>
    <xdr:clientData/>
  </xdr:twoCellAnchor>
  <xdr:twoCellAnchor editAs="oneCell">
    <xdr:from>
      <xdr:col>10</xdr:col>
      <xdr:colOff>648970</xdr:colOff>
      <xdr:row>32</xdr:row>
      <xdr:rowOff>94615</xdr:rowOff>
    </xdr:from>
    <xdr:to>
      <xdr:col>15</xdr:col>
      <xdr:colOff>57150</xdr:colOff>
      <xdr:row>47</xdr:row>
      <xdr:rowOff>133350</xdr:rowOff>
    </xdr:to>
    <xdr:pic>
      <xdr:nvPicPr>
        <xdr:cNvPr id="8" name="Picture 7" descr="Screenshot from 2021-06-21 10-20-50"/>
        <xdr:cNvPicPr>
          <a:picLocks noChangeAspect="true"/>
        </xdr:cNvPicPr>
      </xdr:nvPicPr>
      <xdr:blipFill>
        <a:blip r:embed="rId5"/>
        <a:stretch>
          <a:fillRect/>
        </a:stretch>
      </xdr:blipFill>
      <xdr:spPr>
        <a:xfrm>
          <a:off x="9812020" y="6495415"/>
          <a:ext cx="3599180" cy="3039110"/>
        </a:xfrm>
        <a:prstGeom prst="rect">
          <a:avLst/>
        </a:prstGeom>
      </xdr:spPr>
    </xdr:pic>
    <xdr:clientData/>
  </xdr:twoCellAnchor>
  <xdr:twoCellAnchor editAs="oneCell">
    <xdr:from>
      <xdr:col>13</xdr:col>
      <xdr:colOff>13335</xdr:colOff>
      <xdr:row>0</xdr:row>
      <xdr:rowOff>123825</xdr:rowOff>
    </xdr:from>
    <xdr:to>
      <xdr:col>18</xdr:col>
      <xdr:colOff>69850</xdr:colOff>
      <xdr:row>30</xdr:row>
      <xdr:rowOff>133350</xdr:rowOff>
    </xdr:to>
    <xdr:pic>
      <xdr:nvPicPr>
        <xdr:cNvPr id="9" name="Picture 8" descr="Screenshot from 2021-06-21 10-20-56"/>
        <xdr:cNvPicPr>
          <a:picLocks noChangeAspect="true"/>
        </xdr:cNvPicPr>
      </xdr:nvPicPr>
      <xdr:blipFill>
        <a:blip r:embed="rId6"/>
        <a:stretch>
          <a:fillRect/>
        </a:stretch>
      </xdr:blipFill>
      <xdr:spPr>
        <a:xfrm>
          <a:off x="11690985" y="123825"/>
          <a:ext cx="4247515" cy="6010275"/>
        </a:xfrm>
        <a:prstGeom prst="rect">
          <a:avLst/>
        </a:prstGeom>
      </xdr:spPr>
    </xdr:pic>
    <xdr:clientData/>
  </xdr:twoCellAnchor>
  <xdr:twoCellAnchor editAs="oneCell">
    <xdr:from>
      <xdr:col>4</xdr:col>
      <xdr:colOff>33655</xdr:colOff>
      <xdr:row>30</xdr:row>
      <xdr:rowOff>151765</xdr:rowOff>
    </xdr:from>
    <xdr:to>
      <xdr:col>10</xdr:col>
      <xdr:colOff>466725</xdr:colOff>
      <xdr:row>40</xdr:row>
      <xdr:rowOff>123825</xdr:rowOff>
    </xdr:to>
    <xdr:pic>
      <xdr:nvPicPr>
        <xdr:cNvPr id="10" name="Picture 9" descr="Screenshot from 2021-06-21 10-21-01"/>
        <xdr:cNvPicPr>
          <a:picLocks noChangeAspect="true"/>
        </xdr:cNvPicPr>
      </xdr:nvPicPr>
      <xdr:blipFill>
        <a:blip r:embed="rId7"/>
        <a:stretch>
          <a:fillRect/>
        </a:stretch>
      </xdr:blipFill>
      <xdr:spPr>
        <a:xfrm>
          <a:off x="4167505" y="6152515"/>
          <a:ext cx="5462270" cy="1972310"/>
        </a:xfrm>
        <a:prstGeom prst="rect">
          <a:avLst/>
        </a:prstGeom>
      </xdr:spPr>
    </xdr:pic>
    <xdr:clientData/>
  </xdr:twoCellAnchor>
  <xdr:twoCellAnchor editAs="oneCell">
    <xdr:from>
      <xdr:col>6</xdr:col>
      <xdr:colOff>12065</xdr:colOff>
      <xdr:row>66</xdr:row>
      <xdr:rowOff>151765</xdr:rowOff>
    </xdr:from>
    <xdr:to>
      <xdr:col>10</xdr:col>
      <xdr:colOff>552450</xdr:colOff>
      <xdr:row>87</xdr:row>
      <xdr:rowOff>38100</xdr:rowOff>
    </xdr:to>
    <xdr:pic>
      <xdr:nvPicPr>
        <xdr:cNvPr id="11" name="Picture 10" descr="Screenshot from 2021-06-21 10-21-07"/>
        <xdr:cNvPicPr>
          <a:picLocks noChangeAspect="true"/>
        </xdr:cNvPicPr>
      </xdr:nvPicPr>
      <xdr:blipFill>
        <a:blip r:embed="rId8"/>
        <a:stretch>
          <a:fillRect/>
        </a:stretch>
      </xdr:blipFill>
      <xdr:spPr>
        <a:xfrm>
          <a:off x="5822315" y="13353415"/>
          <a:ext cx="3893185" cy="4086860"/>
        </a:xfrm>
        <a:prstGeom prst="rect">
          <a:avLst/>
        </a:prstGeom>
      </xdr:spPr>
    </xdr:pic>
    <xdr:clientData/>
  </xdr:twoCellAnchor>
  <xdr:twoCellAnchor editAs="oneCell">
    <xdr:from>
      <xdr:col>4</xdr:col>
      <xdr:colOff>557530</xdr:colOff>
      <xdr:row>41</xdr:row>
      <xdr:rowOff>132715</xdr:rowOff>
    </xdr:from>
    <xdr:to>
      <xdr:col>10</xdr:col>
      <xdr:colOff>285750</xdr:colOff>
      <xdr:row>47</xdr:row>
      <xdr:rowOff>180975</xdr:rowOff>
    </xdr:to>
    <xdr:pic>
      <xdr:nvPicPr>
        <xdr:cNvPr id="12" name="Picture 11" descr="Screenshot from 2021-06-21 10-21-17"/>
        <xdr:cNvPicPr>
          <a:picLocks noChangeAspect="true"/>
        </xdr:cNvPicPr>
      </xdr:nvPicPr>
      <xdr:blipFill>
        <a:blip r:embed="rId9"/>
        <a:stretch>
          <a:fillRect/>
        </a:stretch>
      </xdr:blipFill>
      <xdr:spPr>
        <a:xfrm>
          <a:off x="4691380" y="8333740"/>
          <a:ext cx="4757420" cy="1248410"/>
        </a:xfrm>
        <a:prstGeom prst="rect">
          <a:avLst/>
        </a:prstGeom>
      </xdr:spPr>
    </xdr:pic>
    <xdr:clientData/>
  </xdr:twoCellAnchor>
  <xdr:twoCellAnchor editAs="oneCell">
    <xdr:from>
      <xdr:col>0</xdr:col>
      <xdr:colOff>121920</xdr:colOff>
      <xdr:row>58</xdr:row>
      <xdr:rowOff>66040</xdr:rowOff>
    </xdr:from>
    <xdr:to>
      <xdr:col>5</xdr:col>
      <xdr:colOff>609600</xdr:colOff>
      <xdr:row>86</xdr:row>
      <xdr:rowOff>9525</xdr:rowOff>
    </xdr:to>
    <xdr:pic>
      <xdr:nvPicPr>
        <xdr:cNvPr id="13" name="Picture 12" descr="Screenshot from 2021-06-21 10-21-26"/>
        <xdr:cNvPicPr>
          <a:picLocks noChangeAspect="true"/>
        </xdr:cNvPicPr>
      </xdr:nvPicPr>
      <xdr:blipFill>
        <a:blip r:embed="rId10"/>
        <a:stretch>
          <a:fillRect/>
        </a:stretch>
      </xdr:blipFill>
      <xdr:spPr>
        <a:xfrm>
          <a:off x="121920" y="11667490"/>
          <a:ext cx="5459730" cy="5544185"/>
        </a:xfrm>
        <a:prstGeom prst="rect">
          <a:avLst/>
        </a:prstGeom>
      </xdr:spPr>
    </xdr:pic>
    <xdr:clientData/>
  </xdr:twoCellAnchor>
  <xdr:twoCellAnchor editAs="oneCell">
    <xdr:from>
      <xdr:col>0</xdr:col>
      <xdr:colOff>161290</xdr:colOff>
      <xdr:row>46</xdr:row>
      <xdr:rowOff>127000</xdr:rowOff>
    </xdr:from>
    <xdr:to>
      <xdr:col>4</xdr:col>
      <xdr:colOff>304800</xdr:colOff>
      <xdr:row>58</xdr:row>
      <xdr:rowOff>66675</xdr:rowOff>
    </xdr:to>
    <xdr:pic>
      <xdr:nvPicPr>
        <xdr:cNvPr id="14" name="Picture 13" descr="Screenshot from 2021-06-21 10-21-32"/>
        <xdr:cNvPicPr>
          <a:picLocks noChangeAspect="true"/>
        </xdr:cNvPicPr>
      </xdr:nvPicPr>
      <xdr:blipFill>
        <a:blip r:embed="rId11"/>
        <a:stretch>
          <a:fillRect/>
        </a:stretch>
      </xdr:blipFill>
      <xdr:spPr>
        <a:xfrm>
          <a:off x="161290" y="9328150"/>
          <a:ext cx="4277360" cy="233997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342900</xdr:colOff>
      <xdr:row>4</xdr:row>
      <xdr:rowOff>19050</xdr:rowOff>
    </xdr:from>
    <xdr:to>
      <xdr:col>11</xdr:col>
      <xdr:colOff>76835</xdr:colOff>
      <xdr:row>23</xdr:row>
      <xdr:rowOff>128270</xdr:rowOff>
    </xdr:to>
    <xdr:pic>
      <xdr:nvPicPr>
        <xdr:cNvPr id="2" name="Picture 1" descr="Screenshot from 2021-06-08 11-49-11"/>
        <xdr:cNvPicPr>
          <a:picLocks noChangeAspect="true"/>
        </xdr:cNvPicPr>
      </xdr:nvPicPr>
      <xdr:blipFill>
        <a:blip r:embed="rId1"/>
        <a:stretch>
          <a:fillRect/>
        </a:stretch>
      </xdr:blipFill>
      <xdr:spPr>
        <a:xfrm>
          <a:off x="3648075" y="819150"/>
          <a:ext cx="6439535" cy="3909695"/>
        </a:xfrm>
        <a:prstGeom prst="rect">
          <a:avLst/>
        </a:prstGeom>
      </xdr:spPr>
    </xdr:pic>
    <xdr:clientData/>
  </xdr:twoCellAnchor>
  <xdr:twoCellAnchor editAs="oneCell">
    <xdr:from>
      <xdr:col>3</xdr:col>
      <xdr:colOff>276225</xdr:colOff>
      <xdr:row>23</xdr:row>
      <xdr:rowOff>161925</xdr:rowOff>
    </xdr:from>
    <xdr:to>
      <xdr:col>10</xdr:col>
      <xdr:colOff>596900</xdr:colOff>
      <xdr:row>32</xdr:row>
      <xdr:rowOff>133350</xdr:rowOff>
    </xdr:to>
    <xdr:pic>
      <xdr:nvPicPr>
        <xdr:cNvPr id="3" name="Picture 2" descr="Screenshot from 2021-06-08 11-49-17"/>
        <xdr:cNvPicPr>
          <a:picLocks noChangeAspect="true"/>
        </xdr:cNvPicPr>
      </xdr:nvPicPr>
      <xdr:blipFill>
        <a:blip r:embed="rId2"/>
        <a:stretch>
          <a:fillRect/>
        </a:stretch>
      </xdr:blipFill>
      <xdr:spPr>
        <a:xfrm>
          <a:off x="3581400" y="4762500"/>
          <a:ext cx="6188075" cy="1771650"/>
        </a:xfrm>
        <a:prstGeom prst="rect">
          <a:avLst/>
        </a:prstGeom>
      </xdr:spPr>
    </xdr:pic>
    <xdr:clientData/>
  </xdr:twoCellAnchor>
  <xdr:twoCellAnchor editAs="oneCell">
    <xdr:from>
      <xdr:col>0</xdr:col>
      <xdr:colOff>635</xdr:colOff>
      <xdr:row>85</xdr:row>
      <xdr:rowOff>38100</xdr:rowOff>
    </xdr:from>
    <xdr:to>
      <xdr:col>7</xdr:col>
      <xdr:colOff>367030</xdr:colOff>
      <xdr:row>135</xdr:row>
      <xdr:rowOff>95250</xdr:rowOff>
    </xdr:to>
    <xdr:pic>
      <xdr:nvPicPr>
        <xdr:cNvPr id="4" name="Picture 3" descr="Screenshot from 2021-06-08 11-49-21"/>
        <xdr:cNvPicPr>
          <a:picLocks noChangeAspect="true"/>
        </xdr:cNvPicPr>
      </xdr:nvPicPr>
      <xdr:blipFill>
        <a:blip r:embed="rId3"/>
        <a:stretch>
          <a:fillRect/>
        </a:stretch>
      </xdr:blipFill>
      <xdr:spPr>
        <a:xfrm>
          <a:off x="635" y="17040225"/>
          <a:ext cx="7024370" cy="10058400"/>
        </a:xfrm>
        <a:prstGeom prst="rect">
          <a:avLst/>
        </a:prstGeom>
      </xdr:spPr>
    </xdr:pic>
    <xdr:clientData/>
  </xdr:twoCellAnchor>
  <xdr:twoCellAnchor editAs="oneCell">
    <xdr:from>
      <xdr:col>6</xdr:col>
      <xdr:colOff>762000</xdr:colOff>
      <xdr:row>49</xdr:row>
      <xdr:rowOff>9525</xdr:rowOff>
    </xdr:from>
    <xdr:to>
      <xdr:col>15</xdr:col>
      <xdr:colOff>25400</xdr:colOff>
      <xdr:row>68</xdr:row>
      <xdr:rowOff>190500</xdr:rowOff>
    </xdr:to>
    <xdr:pic>
      <xdr:nvPicPr>
        <xdr:cNvPr id="5" name="Picture 4" descr="Screenshot from 2021-06-08 11-49-29"/>
        <xdr:cNvPicPr>
          <a:picLocks noChangeAspect="true"/>
        </xdr:cNvPicPr>
      </xdr:nvPicPr>
      <xdr:blipFill>
        <a:blip r:embed="rId4"/>
        <a:stretch>
          <a:fillRect/>
        </a:stretch>
      </xdr:blipFill>
      <xdr:spPr>
        <a:xfrm>
          <a:off x="6581775" y="9810750"/>
          <a:ext cx="6807200" cy="3981450"/>
        </a:xfrm>
        <a:prstGeom prst="rect">
          <a:avLst/>
        </a:prstGeom>
      </xdr:spPr>
    </xdr:pic>
    <xdr:clientData/>
  </xdr:twoCellAnchor>
  <xdr:twoCellAnchor editAs="oneCell">
    <xdr:from>
      <xdr:col>11</xdr:col>
      <xdr:colOff>752475</xdr:colOff>
      <xdr:row>5</xdr:row>
      <xdr:rowOff>76200</xdr:rowOff>
    </xdr:from>
    <xdr:to>
      <xdr:col>20</xdr:col>
      <xdr:colOff>330835</xdr:colOff>
      <xdr:row>45</xdr:row>
      <xdr:rowOff>104775</xdr:rowOff>
    </xdr:to>
    <xdr:pic>
      <xdr:nvPicPr>
        <xdr:cNvPr id="6" name="Picture 5" descr="Screenshot from 2021-06-08 11-49-34"/>
        <xdr:cNvPicPr>
          <a:picLocks noChangeAspect="true"/>
        </xdr:cNvPicPr>
      </xdr:nvPicPr>
      <xdr:blipFill>
        <a:blip r:embed="rId5"/>
        <a:stretch>
          <a:fillRect/>
        </a:stretch>
      </xdr:blipFill>
      <xdr:spPr>
        <a:xfrm>
          <a:off x="10763250" y="1076325"/>
          <a:ext cx="7122160" cy="8029575"/>
        </a:xfrm>
        <a:prstGeom prst="rect">
          <a:avLst/>
        </a:prstGeom>
      </xdr:spPr>
    </xdr:pic>
    <xdr:clientData/>
  </xdr:twoCellAnchor>
  <xdr:twoCellAnchor editAs="oneCell">
    <xdr:from>
      <xdr:col>3</xdr:col>
      <xdr:colOff>361950</xdr:colOff>
      <xdr:row>32</xdr:row>
      <xdr:rowOff>28575</xdr:rowOff>
    </xdr:from>
    <xdr:to>
      <xdr:col>10</xdr:col>
      <xdr:colOff>189865</xdr:colOff>
      <xdr:row>40</xdr:row>
      <xdr:rowOff>89535</xdr:rowOff>
    </xdr:to>
    <xdr:pic>
      <xdr:nvPicPr>
        <xdr:cNvPr id="7" name="Picture 6" descr="Screenshot from 2021-06-08 11-49-40"/>
        <xdr:cNvPicPr>
          <a:picLocks noChangeAspect="true"/>
        </xdr:cNvPicPr>
      </xdr:nvPicPr>
      <xdr:blipFill>
        <a:blip r:embed="rId6"/>
        <a:stretch>
          <a:fillRect/>
        </a:stretch>
      </xdr:blipFill>
      <xdr:spPr>
        <a:xfrm>
          <a:off x="3667125" y="6429375"/>
          <a:ext cx="5695315" cy="1661160"/>
        </a:xfrm>
        <a:prstGeom prst="rect">
          <a:avLst/>
        </a:prstGeom>
      </xdr:spPr>
    </xdr:pic>
    <xdr:clientData/>
  </xdr:twoCellAnchor>
  <xdr:twoCellAnchor editAs="oneCell">
    <xdr:from>
      <xdr:col>6</xdr:col>
      <xdr:colOff>723900</xdr:colOff>
      <xdr:row>80</xdr:row>
      <xdr:rowOff>19050</xdr:rowOff>
    </xdr:from>
    <xdr:to>
      <xdr:col>14</xdr:col>
      <xdr:colOff>693420</xdr:colOff>
      <xdr:row>130</xdr:row>
      <xdr:rowOff>76200</xdr:rowOff>
    </xdr:to>
    <xdr:pic>
      <xdr:nvPicPr>
        <xdr:cNvPr id="8" name="Picture 7" descr="Screenshot from 2021-06-08 11-49-46"/>
        <xdr:cNvPicPr>
          <a:picLocks noChangeAspect="true"/>
        </xdr:cNvPicPr>
      </xdr:nvPicPr>
      <xdr:blipFill>
        <a:blip r:embed="rId7"/>
        <a:stretch>
          <a:fillRect/>
        </a:stretch>
      </xdr:blipFill>
      <xdr:spPr>
        <a:xfrm>
          <a:off x="6543675" y="16021050"/>
          <a:ext cx="6675120" cy="10058400"/>
        </a:xfrm>
        <a:prstGeom prst="rect">
          <a:avLst/>
        </a:prstGeom>
      </xdr:spPr>
    </xdr:pic>
    <xdr:clientData/>
  </xdr:twoCellAnchor>
  <xdr:twoCellAnchor editAs="oneCell">
    <xdr:from>
      <xdr:col>3</xdr:col>
      <xdr:colOff>285750</xdr:colOff>
      <xdr:row>40</xdr:row>
      <xdr:rowOff>152400</xdr:rowOff>
    </xdr:from>
    <xdr:to>
      <xdr:col>10</xdr:col>
      <xdr:colOff>342900</xdr:colOff>
      <xdr:row>49</xdr:row>
      <xdr:rowOff>19050</xdr:rowOff>
    </xdr:to>
    <xdr:pic>
      <xdr:nvPicPr>
        <xdr:cNvPr id="9" name="Picture 8" descr="Screenshot from 2021-06-08 11-49-53"/>
        <xdr:cNvPicPr>
          <a:picLocks noChangeAspect="true"/>
        </xdr:cNvPicPr>
      </xdr:nvPicPr>
      <xdr:blipFill>
        <a:blip r:embed="rId8"/>
        <a:stretch>
          <a:fillRect/>
        </a:stretch>
      </xdr:blipFill>
      <xdr:spPr>
        <a:xfrm>
          <a:off x="3590925" y="8153400"/>
          <a:ext cx="5924550" cy="1666875"/>
        </a:xfrm>
        <a:prstGeom prst="rect">
          <a:avLst/>
        </a:prstGeom>
      </xdr:spPr>
    </xdr:pic>
    <xdr:clientData/>
  </xdr:twoCellAnchor>
  <xdr:twoCellAnchor editAs="oneCell">
    <xdr:from>
      <xdr:col>14</xdr:col>
      <xdr:colOff>304800</xdr:colOff>
      <xdr:row>49</xdr:row>
      <xdr:rowOff>0</xdr:rowOff>
    </xdr:from>
    <xdr:to>
      <xdr:col>22</xdr:col>
      <xdr:colOff>409575</xdr:colOff>
      <xdr:row>99</xdr:row>
      <xdr:rowOff>57150</xdr:rowOff>
    </xdr:to>
    <xdr:pic>
      <xdr:nvPicPr>
        <xdr:cNvPr id="10" name="Picture 9" descr="Screenshot from 2021-06-08 11-49-57"/>
        <xdr:cNvPicPr>
          <a:picLocks noChangeAspect="true"/>
        </xdr:cNvPicPr>
      </xdr:nvPicPr>
      <xdr:blipFill>
        <a:blip r:embed="rId9"/>
        <a:stretch>
          <a:fillRect/>
        </a:stretch>
      </xdr:blipFill>
      <xdr:spPr>
        <a:xfrm>
          <a:off x="12830175" y="9801225"/>
          <a:ext cx="6810375" cy="10058400"/>
        </a:xfrm>
        <a:prstGeom prst="rect">
          <a:avLst/>
        </a:prstGeom>
      </xdr:spPr>
    </xdr:pic>
    <xdr:clientData/>
  </xdr:twoCellAnchor>
  <xdr:twoCellAnchor editAs="oneCell">
    <xdr:from>
      <xdr:col>0</xdr:col>
      <xdr:colOff>635</xdr:colOff>
      <xdr:row>51</xdr:row>
      <xdr:rowOff>184150</xdr:rowOff>
    </xdr:from>
    <xdr:to>
      <xdr:col>6</xdr:col>
      <xdr:colOff>801370</xdr:colOff>
      <xdr:row>81</xdr:row>
      <xdr:rowOff>85725</xdr:rowOff>
    </xdr:to>
    <xdr:pic>
      <xdr:nvPicPr>
        <xdr:cNvPr id="11" name="Picture 10" descr="Screenshot from 2021-06-08 11-50-08"/>
        <xdr:cNvPicPr>
          <a:picLocks noChangeAspect="true"/>
        </xdr:cNvPicPr>
      </xdr:nvPicPr>
      <xdr:blipFill>
        <a:blip r:embed="rId10"/>
        <a:stretch>
          <a:fillRect/>
        </a:stretch>
      </xdr:blipFill>
      <xdr:spPr>
        <a:xfrm>
          <a:off x="635" y="10385425"/>
          <a:ext cx="6620510" cy="590232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457200</xdr:colOff>
      <xdr:row>7</xdr:row>
      <xdr:rowOff>10795</xdr:rowOff>
    </xdr:from>
    <xdr:to>
      <xdr:col>9</xdr:col>
      <xdr:colOff>209550</xdr:colOff>
      <xdr:row>22</xdr:row>
      <xdr:rowOff>106045</xdr:rowOff>
    </xdr:to>
    <xdr:pic>
      <xdr:nvPicPr>
        <xdr:cNvPr id="2" name="Picture 1" descr="Screenshot from 2021-06-07 11-27-29"/>
        <xdr:cNvPicPr>
          <a:picLocks noChangeAspect="true"/>
        </xdr:cNvPicPr>
      </xdr:nvPicPr>
      <xdr:blipFill>
        <a:blip r:embed="rId1"/>
        <a:stretch>
          <a:fillRect/>
        </a:stretch>
      </xdr:blipFill>
      <xdr:spPr>
        <a:xfrm>
          <a:off x="4676775" y="1410970"/>
          <a:ext cx="3943350" cy="3095625"/>
        </a:xfrm>
        <a:prstGeom prst="rect">
          <a:avLst/>
        </a:prstGeom>
      </xdr:spPr>
    </xdr:pic>
    <xdr:clientData/>
  </xdr:twoCellAnchor>
  <xdr:twoCellAnchor editAs="oneCell">
    <xdr:from>
      <xdr:col>9</xdr:col>
      <xdr:colOff>419100</xdr:colOff>
      <xdr:row>22</xdr:row>
      <xdr:rowOff>171450</xdr:rowOff>
    </xdr:from>
    <xdr:to>
      <xdr:col>18</xdr:col>
      <xdr:colOff>800100</xdr:colOff>
      <xdr:row>29</xdr:row>
      <xdr:rowOff>57150</xdr:rowOff>
    </xdr:to>
    <xdr:pic>
      <xdr:nvPicPr>
        <xdr:cNvPr id="3" name="Picture 2" descr="Screenshot from 2021-06-07 11-27-37"/>
        <xdr:cNvPicPr>
          <a:picLocks noChangeAspect="true"/>
        </xdr:cNvPicPr>
      </xdr:nvPicPr>
      <xdr:blipFill>
        <a:blip r:embed="rId2"/>
        <a:stretch>
          <a:fillRect/>
        </a:stretch>
      </xdr:blipFill>
      <xdr:spPr>
        <a:xfrm>
          <a:off x="8829675" y="4572000"/>
          <a:ext cx="7924800" cy="1285875"/>
        </a:xfrm>
        <a:prstGeom prst="rect">
          <a:avLst/>
        </a:prstGeom>
      </xdr:spPr>
    </xdr:pic>
    <xdr:clientData/>
  </xdr:twoCellAnchor>
  <xdr:twoCellAnchor editAs="oneCell">
    <xdr:from>
      <xdr:col>3</xdr:col>
      <xdr:colOff>249555</xdr:colOff>
      <xdr:row>23</xdr:row>
      <xdr:rowOff>180975</xdr:rowOff>
    </xdr:from>
    <xdr:to>
      <xdr:col>9</xdr:col>
      <xdr:colOff>276860</xdr:colOff>
      <xdr:row>42</xdr:row>
      <xdr:rowOff>180340</xdr:rowOff>
    </xdr:to>
    <xdr:pic>
      <xdr:nvPicPr>
        <xdr:cNvPr id="4" name="Picture 3" descr="Screenshot from 2021-06-07 11-27-47"/>
        <xdr:cNvPicPr>
          <a:picLocks noChangeAspect="true"/>
        </xdr:cNvPicPr>
      </xdr:nvPicPr>
      <xdr:blipFill>
        <a:blip r:embed="rId3"/>
        <a:srcRect r="11943"/>
        <a:stretch>
          <a:fillRect/>
        </a:stretch>
      </xdr:blipFill>
      <xdr:spPr>
        <a:xfrm>
          <a:off x="3630930" y="4781550"/>
          <a:ext cx="5056505" cy="3799840"/>
        </a:xfrm>
        <a:prstGeom prst="rect">
          <a:avLst/>
        </a:prstGeom>
      </xdr:spPr>
    </xdr:pic>
    <xdr:clientData/>
  </xdr:twoCellAnchor>
  <xdr:twoCellAnchor editAs="oneCell">
    <xdr:from>
      <xdr:col>0</xdr:col>
      <xdr:colOff>1153795</xdr:colOff>
      <xdr:row>63</xdr:row>
      <xdr:rowOff>152400</xdr:rowOff>
    </xdr:from>
    <xdr:to>
      <xdr:col>8</xdr:col>
      <xdr:colOff>458470</xdr:colOff>
      <xdr:row>79</xdr:row>
      <xdr:rowOff>190500</xdr:rowOff>
    </xdr:to>
    <xdr:pic>
      <xdr:nvPicPr>
        <xdr:cNvPr id="5" name="Picture 4" descr="Screenshot from 2021-06-07 11-27-52"/>
        <xdr:cNvPicPr>
          <a:picLocks noChangeAspect="true"/>
        </xdr:cNvPicPr>
      </xdr:nvPicPr>
      <xdr:blipFill>
        <a:blip r:embed="rId4"/>
        <a:stretch>
          <a:fillRect/>
        </a:stretch>
      </xdr:blipFill>
      <xdr:spPr>
        <a:xfrm>
          <a:off x="1153795" y="12753975"/>
          <a:ext cx="6877050" cy="3238500"/>
        </a:xfrm>
        <a:prstGeom prst="rect">
          <a:avLst/>
        </a:prstGeom>
      </xdr:spPr>
    </xdr:pic>
    <xdr:clientData/>
  </xdr:twoCellAnchor>
  <xdr:twoCellAnchor editAs="oneCell">
    <xdr:from>
      <xdr:col>9</xdr:col>
      <xdr:colOff>190500</xdr:colOff>
      <xdr:row>53</xdr:row>
      <xdr:rowOff>76200</xdr:rowOff>
    </xdr:from>
    <xdr:to>
      <xdr:col>18</xdr:col>
      <xdr:colOff>466725</xdr:colOff>
      <xdr:row>69</xdr:row>
      <xdr:rowOff>171450</xdr:rowOff>
    </xdr:to>
    <xdr:pic>
      <xdr:nvPicPr>
        <xdr:cNvPr id="6" name="Picture 5" descr="Screenshot from 2021-06-07 11-28-05"/>
        <xdr:cNvPicPr>
          <a:picLocks noChangeAspect="true"/>
        </xdr:cNvPicPr>
      </xdr:nvPicPr>
      <xdr:blipFill>
        <a:blip r:embed="rId5"/>
        <a:stretch>
          <a:fillRect/>
        </a:stretch>
      </xdr:blipFill>
      <xdr:spPr>
        <a:xfrm>
          <a:off x="8601075" y="10677525"/>
          <a:ext cx="7820025" cy="3295650"/>
        </a:xfrm>
        <a:prstGeom prst="rect">
          <a:avLst/>
        </a:prstGeom>
      </xdr:spPr>
    </xdr:pic>
    <xdr:clientData/>
  </xdr:twoCellAnchor>
  <xdr:twoCellAnchor editAs="oneCell">
    <xdr:from>
      <xdr:col>9</xdr:col>
      <xdr:colOff>47625</xdr:colOff>
      <xdr:row>36</xdr:row>
      <xdr:rowOff>47625</xdr:rowOff>
    </xdr:from>
    <xdr:to>
      <xdr:col>18</xdr:col>
      <xdr:colOff>85725</xdr:colOff>
      <xdr:row>50</xdr:row>
      <xdr:rowOff>171450</xdr:rowOff>
    </xdr:to>
    <xdr:pic>
      <xdr:nvPicPr>
        <xdr:cNvPr id="7" name="Picture 6" descr="Screenshot from 2021-06-07 11-28-10"/>
        <xdr:cNvPicPr>
          <a:picLocks noChangeAspect="true"/>
        </xdr:cNvPicPr>
      </xdr:nvPicPr>
      <xdr:blipFill>
        <a:blip r:embed="rId6"/>
        <a:stretch>
          <a:fillRect/>
        </a:stretch>
      </xdr:blipFill>
      <xdr:spPr>
        <a:xfrm>
          <a:off x="8458200" y="7248525"/>
          <a:ext cx="7581900" cy="2924175"/>
        </a:xfrm>
        <a:prstGeom prst="rect">
          <a:avLst/>
        </a:prstGeom>
      </xdr:spPr>
    </xdr:pic>
    <xdr:clientData/>
  </xdr:twoCellAnchor>
  <xdr:twoCellAnchor editAs="oneCell">
    <xdr:from>
      <xdr:col>0</xdr:col>
      <xdr:colOff>295275</xdr:colOff>
      <xdr:row>49</xdr:row>
      <xdr:rowOff>38100</xdr:rowOff>
    </xdr:from>
    <xdr:to>
      <xdr:col>7</xdr:col>
      <xdr:colOff>142875</xdr:colOff>
      <xdr:row>64</xdr:row>
      <xdr:rowOff>38100</xdr:rowOff>
    </xdr:to>
    <xdr:pic>
      <xdr:nvPicPr>
        <xdr:cNvPr id="8" name="Picture 7" descr="Screenshot from 2021-06-07 11-28-19"/>
        <xdr:cNvPicPr>
          <a:picLocks noChangeAspect="true"/>
        </xdr:cNvPicPr>
      </xdr:nvPicPr>
      <xdr:blipFill>
        <a:blip r:embed="rId7"/>
        <a:stretch>
          <a:fillRect/>
        </a:stretch>
      </xdr:blipFill>
      <xdr:spPr>
        <a:xfrm>
          <a:off x="295275" y="9839325"/>
          <a:ext cx="6581775" cy="3000375"/>
        </a:xfrm>
        <a:prstGeom prst="rect">
          <a:avLst/>
        </a:prstGeom>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76200</xdr:colOff>
      <xdr:row>0</xdr:row>
      <xdr:rowOff>28575</xdr:rowOff>
    </xdr:from>
    <xdr:to>
      <xdr:col>14</xdr:col>
      <xdr:colOff>201295</xdr:colOff>
      <xdr:row>22</xdr:row>
      <xdr:rowOff>188595</xdr:rowOff>
    </xdr:to>
    <xdr:pic>
      <xdr:nvPicPr>
        <xdr:cNvPr id="13" name="Picture 12" descr="Screenshot from 2021-06-08 11-54-36"/>
        <xdr:cNvPicPr>
          <a:picLocks noChangeAspect="true"/>
        </xdr:cNvPicPr>
      </xdr:nvPicPr>
      <xdr:blipFill>
        <a:blip r:embed="rId1"/>
        <a:stretch>
          <a:fillRect/>
        </a:stretch>
      </xdr:blipFill>
      <xdr:spPr>
        <a:xfrm>
          <a:off x="8410575" y="28575"/>
          <a:ext cx="4316095" cy="4560570"/>
        </a:xfrm>
        <a:prstGeom prst="rect">
          <a:avLst/>
        </a:prstGeom>
      </xdr:spPr>
    </xdr:pic>
    <xdr:clientData/>
  </xdr:twoCellAnchor>
  <xdr:twoCellAnchor editAs="oneCell">
    <xdr:from>
      <xdr:col>3</xdr:col>
      <xdr:colOff>774700</xdr:colOff>
      <xdr:row>1</xdr:row>
      <xdr:rowOff>155575</xdr:rowOff>
    </xdr:from>
    <xdr:to>
      <xdr:col>8</xdr:col>
      <xdr:colOff>736600</xdr:colOff>
      <xdr:row>23</xdr:row>
      <xdr:rowOff>181610</xdr:rowOff>
    </xdr:to>
    <xdr:pic>
      <xdr:nvPicPr>
        <xdr:cNvPr id="14" name="Picture 13" descr="Screenshot from 2021-06-08 11-54-40"/>
        <xdr:cNvPicPr>
          <a:picLocks noChangeAspect="true"/>
        </xdr:cNvPicPr>
      </xdr:nvPicPr>
      <xdr:blipFill>
        <a:blip r:embed="rId2"/>
        <a:stretch>
          <a:fillRect/>
        </a:stretch>
      </xdr:blipFill>
      <xdr:spPr>
        <a:xfrm>
          <a:off x="4079875" y="355600"/>
          <a:ext cx="4152900" cy="4426585"/>
        </a:xfrm>
        <a:prstGeom prst="rect">
          <a:avLst/>
        </a:prstGeom>
      </xdr:spPr>
    </xdr:pic>
    <xdr:clientData/>
  </xdr:twoCellAnchor>
  <xdr:twoCellAnchor editAs="oneCell">
    <xdr:from>
      <xdr:col>11</xdr:col>
      <xdr:colOff>244475</xdr:colOff>
      <xdr:row>25</xdr:row>
      <xdr:rowOff>82550</xdr:rowOff>
    </xdr:from>
    <xdr:to>
      <xdr:col>15</xdr:col>
      <xdr:colOff>553720</xdr:colOff>
      <xdr:row>50</xdr:row>
      <xdr:rowOff>190500</xdr:rowOff>
    </xdr:to>
    <xdr:pic>
      <xdr:nvPicPr>
        <xdr:cNvPr id="15" name="Picture 14" descr="Screenshot from 2021-06-08 11-54-46"/>
        <xdr:cNvPicPr>
          <a:picLocks noChangeAspect="true"/>
        </xdr:cNvPicPr>
      </xdr:nvPicPr>
      <xdr:blipFill>
        <a:blip r:embed="rId3"/>
        <a:stretch>
          <a:fillRect/>
        </a:stretch>
      </xdr:blipFill>
      <xdr:spPr>
        <a:xfrm>
          <a:off x="10255250" y="5083175"/>
          <a:ext cx="3662045" cy="5108575"/>
        </a:xfrm>
        <a:prstGeom prst="rect">
          <a:avLst/>
        </a:prstGeom>
      </xdr:spPr>
    </xdr:pic>
    <xdr:clientData/>
  </xdr:twoCellAnchor>
  <xdr:twoCellAnchor editAs="oneCell">
    <xdr:from>
      <xdr:col>3</xdr:col>
      <xdr:colOff>714375</xdr:colOff>
      <xdr:row>25</xdr:row>
      <xdr:rowOff>142875</xdr:rowOff>
    </xdr:from>
    <xdr:to>
      <xdr:col>10</xdr:col>
      <xdr:colOff>209550</xdr:colOff>
      <xdr:row>37</xdr:row>
      <xdr:rowOff>152400</xdr:rowOff>
    </xdr:to>
    <xdr:pic>
      <xdr:nvPicPr>
        <xdr:cNvPr id="16" name="Picture 15" descr="Screenshot from 2021-06-08 11-54-53"/>
        <xdr:cNvPicPr>
          <a:picLocks noChangeAspect="true"/>
        </xdr:cNvPicPr>
      </xdr:nvPicPr>
      <xdr:blipFill>
        <a:blip r:embed="rId4"/>
        <a:stretch>
          <a:fillRect/>
        </a:stretch>
      </xdr:blipFill>
      <xdr:spPr>
        <a:xfrm>
          <a:off x="4019550" y="5143500"/>
          <a:ext cx="5362575" cy="2409825"/>
        </a:xfrm>
        <a:prstGeom prst="rect">
          <a:avLst/>
        </a:prstGeom>
      </xdr:spPr>
    </xdr:pic>
    <xdr:clientData/>
  </xdr:twoCellAnchor>
  <xdr:twoCellAnchor editAs="oneCell">
    <xdr:from>
      <xdr:col>0</xdr:col>
      <xdr:colOff>495300</xdr:colOff>
      <xdr:row>86</xdr:row>
      <xdr:rowOff>107950</xdr:rowOff>
    </xdr:from>
    <xdr:to>
      <xdr:col>4</xdr:col>
      <xdr:colOff>55245</xdr:colOff>
      <xdr:row>108</xdr:row>
      <xdr:rowOff>81915</xdr:rowOff>
    </xdr:to>
    <xdr:pic>
      <xdr:nvPicPr>
        <xdr:cNvPr id="17" name="Picture 16" descr="Screenshot from 2021-06-08 11-54-57"/>
        <xdr:cNvPicPr>
          <a:picLocks noChangeAspect="true"/>
        </xdr:cNvPicPr>
      </xdr:nvPicPr>
      <xdr:blipFill>
        <a:blip r:embed="rId5"/>
        <a:stretch>
          <a:fillRect/>
        </a:stretch>
      </xdr:blipFill>
      <xdr:spPr>
        <a:xfrm>
          <a:off x="495300" y="17310100"/>
          <a:ext cx="3703320" cy="4374515"/>
        </a:xfrm>
        <a:prstGeom prst="rect">
          <a:avLst/>
        </a:prstGeom>
      </xdr:spPr>
    </xdr:pic>
    <xdr:clientData/>
  </xdr:twoCellAnchor>
  <xdr:twoCellAnchor editAs="oneCell">
    <xdr:from>
      <xdr:col>14</xdr:col>
      <xdr:colOff>415925</xdr:colOff>
      <xdr:row>3</xdr:row>
      <xdr:rowOff>111125</xdr:rowOff>
    </xdr:from>
    <xdr:to>
      <xdr:col>20</xdr:col>
      <xdr:colOff>285750</xdr:colOff>
      <xdr:row>18</xdr:row>
      <xdr:rowOff>133350</xdr:rowOff>
    </xdr:to>
    <xdr:pic>
      <xdr:nvPicPr>
        <xdr:cNvPr id="18" name="Picture 17" descr="Screenshot from 2021-06-08 11-55-01"/>
        <xdr:cNvPicPr>
          <a:picLocks noChangeAspect="true"/>
        </xdr:cNvPicPr>
      </xdr:nvPicPr>
      <xdr:blipFill>
        <a:blip r:embed="rId6"/>
        <a:stretch>
          <a:fillRect/>
        </a:stretch>
      </xdr:blipFill>
      <xdr:spPr>
        <a:xfrm>
          <a:off x="12941300" y="711200"/>
          <a:ext cx="4899025" cy="3022600"/>
        </a:xfrm>
        <a:prstGeom prst="rect">
          <a:avLst/>
        </a:prstGeom>
      </xdr:spPr>
    </xdr:pic>
    <xdr:clientData/>
  </xdr:twoCellAnchor>
  <xdr:twoCellAnchor editAs="oneCell">
    <xdr:from>
      <xdr:col>0</xdr:col>
      <xdr:colOff>171450</xdr:colOff>
      <xdr:row>67</xdr:row>
      <xdr:rowOff>114300</xdr:rowOff>
    </xdr:from>
    <xdr:to>
      <xdr:col>4</xdr:col>
      <xdr:colOff>476250</xdr:colOff>
      <xdr:row>84</xdr:row>
      <xdr:rowOff>123825</xdr:rowOff>
    </xdr:to>
    <xdr:pic>
      <xdr:nvPicPr>
        <xdr:cNvPr id="19" name="Picture 18" descr="Screenshot from 2021-06-08 11-55-11"/>
        <xdr:cNvPicPr>
          <a:picLocks noChangeAspect="true"/>
        </xdr:cNvPicPr>
      </xdr:nvPicPr>
      <xdr:blipFill>
        <a:blip r:embed="rId7"/>
        <a:stretch>
          <a:fillRect/>
        </a:stretch>
      </xdr:blipFill>
      <xdr:spPr>
        <a:xfrm>
          <a:off x="171450" y="13515975"/>
          <a:ext cx="4448175" cy="3409950"/>
        </a:xfrm>
        <a:prstGeom prst="rect">
          <a:avLst/>
        </a:prstGeom>
      </xdr:spPr>
    </xdr:pic>
    <xdr:clientData/>
  </xdr:twoCellAnchor>
  <xdr:twoCellAnchor editAs="oneCell">
    <xdr:from>
      <xdr:col>6</xdr:col>
      <xdr:colOff>222250</xdr:colOff>
      <xdr:row>46</xdr:row>
      <xdr:rowOff>31750</xdr:rowOff>
    </xdr:from>
    <xdr:to>
      <xdr:col>11</xdr:col>
      <xdr:colOff>133350</xdr:colOff>
      <xdr:row>61</xdr:row>
      <xdr:rowOff>28575</xdr:rowOff>
    </xdr:to>
    <xdr:pic>
      <xdr:nvPicPr>
        <xdr:cNvPr id="20" name="Picture 19" descr="Screenshot from 2021-06-08 11-55-15"/>
        <xdr:cNvPicPr>
          <a:picLocks noChangeAspect="true"/>
        </xdr:cNvPicPr>
      </xdr:nvPicPr>
      <xdr:blipFill>
        <a:blip r:embed="rId8"/>
        <a:stretch>
          <a:fillRect/>
        </a:stretch>
      </xdr:blipFill>
      <xdr:spPr>
        <a:xfrm>
          <a:off x="6042025" y="9232900"/>
          <a:ext cx="4102100" cy="2997200"/>
        </a:xfrm>
        <a:prstGeom prst="rect">
          <a:avLst/>
        </a:prstGeom>
      </xdr:spPr>
    </xdr:pic>
    <xdr:clientData/>
  </xdr:twoCellAnchor>
  <xdr:twoCellAnchor editAs="oneCell">
    <xdr:from>
      <xdr:col>11</xdr:col>
      <xdr:colOff>212725</xdr:colOff>
      <xdr:row>52</xdr:row>
      <xdr:rowOff>62865</xdr:rowOff>
    </xdr:from>
    <xdr:to>
      <xdr:col>15</xdr:col>
      <xdr:colOff>787400</xdr:colOff>
      <xdr:row>87</xdr:row>
      <xdr:rowOff>35560</xdr:rowOff>
    </xdr:to>
    <xdr:pic>
      <xdr:nvPicPr>
        <xdr:cNvPr id="21" name="Picture 20" descr="Screenshot from 2021-06-08 11-55-19"/>
        <xdr:cNvPicPr>
          <a:picLocks noChangeAspect="true"/>
        </xdr:cNvPicPr>
      </xdr:nvPicPr>
      <xdr:blipFill>
        <a:blip r:embed="rId9"/>
        <a:stretch>
          <a:fillRect/>
        </a:stretch>
      </xdr:blipFill>
      <xdr:spPr>
        <a:xfrm>
          <a:off x="10223500" y="10464165"/>
          <a:ext cx="3927475" cy="6973570"/>
        </a:xfrm>
        <a:prstGeom prst="rect">
          <a:avLst/>
        </a:prstGeom>
      </xdr:spPr>
    </xdr:pic>
    <xdr:clientData/>
  </xdr:twoCellAnchor>
  <xdr:twoCellAnchor editAs="oneCell">
    <xdr:from>
      <xdr:col>5</xdr:col>
      <xdr:colOff>590550</xdr:colOff>
      <xdr:row>61</xdr:row>
      <xdr:rowOff>161925</xdr:rowOff>
    </xdr:from>
    <xdr:to>
      <xdr:col>9</xdr:col>
      <xdr:colOff>733425</xdr:colOff>
      <xdr:row>94</xdr:row>
      <xdr:rowOff>76200</xdr:rowOff>
    </xdr:to>
    <xdr:pic>
      <xdr:nvPicPr>
        <xdr:cNvPr id="22" name="Picture 21" descr="Screenshot from 2021-06-08 11-55-23"/>
        <xdr:cNvPicPr>
          <a:picLocks noChangeAspect="true"/>
        </xdr:cNvPicPr>
      </xdr:nvPicPr>
      <xdr:blipFill>
        <a:blip r:embed="rId10"/>
        <a:stretch>
          <a:fillRect/>
        </a:stretch>
      </xdr:blipFill>
      <xdr:spPr>
        <a:xfrm>
          <a:off x="5572125" y="12363450"/>
          <a:ext cx="3495675" cy="6515100"/>
        </a:xfrm>
        <a:prstGeom prst="rect">
          <a:avLst/>
        </a:prstGeom>
      </xdr:spPr>
    </xdr:pic>
    <xdr:clientData/>
  </xdr:twoCellAnchor>
  <xdr:twoCellAnchor editAs="oneCell">
    <xdr:from>
      <xdr:col>0</xdr:col>
      <xdr:colOff>635</xdr:colOff>
      <xdr:row>47</xdr:row>
      <xdr:rowOff>50800</xdr:rowOff>
    </xdr:from>
    <xdr:to>
      <xdr:col>6</xdr:col>
      <xdr:colOff>278765</xdr:colOff>
      <xdr:row>65</xdr:row>
      <xdr:rowOff>187325</xdr:rowOff>
    </xdr:to>
    <xdr:pic>
      <xdr:nvPicPr>
        <xdr:cNvPr id="23" name="Picture 22" descr="Screenshot from 2021-06-08 11-55-37"/>
        <xdr:cNvPicPr>
          <a:picLocks noChangeAspect="true"/>
        </xdr:cNvPicPr>
      </xdr:nvPicPr>
      <xdr:blipFill>
        <a:blip r:embed="rId11"/>
        <a:stretch>
          <a:fillRect/>
        </a:stretch>
      </xdr:blipFill>
      <xdr:spPr>
        <a:xfrm>
          <a:off x="635" y="9451975"/>
          <a:ext cx="6097905" cy="3736975"/>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647700</xdr:colOff>
      <xdr:row>1</xdr:row>
      <xdr:rowOff>161925</xdr:rowOff>
    </xdr:from>
    <xdr:to>
      <xdr:col>15</xdr:col>
      <xdr:colOff>647700</xdr:colOff>
      <xdr:row>15</xdr:row>
      <xdr:rowOff>154305</xdr:rowOff>
    </xdr:to>
    <xdr:pic>
      <xdr:nvPicPr>
        <xdr:cNvPr id="2" name="Picture 1" descr="Screenshot from 2021-06-08 12-08-23"/>
        <xdr:cNvPicPr>
          <a:picLocks noChangeAspect="true"/>
        </xdr:cNvPicPr>
      </xdr:nvPicPr>
      <xdr:blipFill>
        <a:blip r:embed="rId1"/>
        <a:stretch>
          <a:fillRect/>
        </a:stretch>
      </xdr:blipFill>
      <xdr:spPr>
        <a:xfrm>
          <a:off x="4133850" y="361950"/>
          <a:ext cx="10058400" cy="2792730"/>
        </a:xfrm>
        <a:prstGeom prst="rect">
          <a:avLst/>
        </a:prstGeom>
      </xdr:spPr>
    </xdr:pic>
    <xdr:clientData/>
  </xdr:twoCellAnchor>
  <xdr:twoCellAnchor editAs="oneCell">
    <xdr:from>
      <xdr:col>3</xdr:col>
      <xdr:colOff>755650</xdr:colOff>
      <xdr:row>37</xdr:row>
      <xdr:rowOff>184150</xdr:rowOff>
    </xdr:from>
    <xdr:to>
      <xdr:col>8</xdr:col>
      <xdr:colOff>87630</xdr:colOff>
      <xdr:row>50</xdr:row>
      <xdr:rowOff>123825</xdr:rowOff>
    </xdr:to>
    <xdr:pic>
      <xdr:nvPicPr>
        <xdr:cNvPr id="3" name="Picture 2" descr="Screenshot from 2021-06-08 12-08-28"/>
        <xdr:cNvPicPr>
          <a:picLocks noChangeAspect="true"/>
        </xdr:cNvPicPr>
      </xdr:nvPicPr>
      <xdr:blipFill>
        <a:blip r:embed="rId2"/>
        <a:stretch>
          <a:fillRect/>
        </a:stretch>
      </xdr:blipFill>
      <xdr:spPr>
        <a:xfrm>
          <a:off x="4241800" y="7585075"/>
          <a:ext cx="3522980" cy="2540000"/>
        </a:xfrm>
        <a:prstGeom prst="rect">
          <a:avLst/>
        </a:prstGeom>
      </xdr:spPr>
    </xdr:pic>
    <xdr:clientData/>
  </xdr:twoCellAnchor>
  <xdr:twoCellAnchor editAs="oneCell">
    <xdr:from>
      <xdr:col>15</xdr:col>
      <xdr:colOff>425450</xdr:colOff>
      <xdr:row>35</xdr:row>
      <xdr:rowOff>196850</xdr:rowOff>
    </xdr:from>
    <xdr:to>
      <xdr:col>19</xdr:col>
      <xdr:colOff>342900</xdr:colOff>
      <xdr:row>53</xdr:row>
      <xdr:rowOff>104775</xdr:rowOff>
    </xdr:to>
    <xdr:pic>
      <xdr:nvPicPr>
        <xdr:cNvPr id="4" name="Picture 3" descr="Screenshot from 2021-06-08 12-08-30"/>
        <xdr:cNvPicPr>
          <a:picLocks noChangeAspect="true"/>
        </xdr:cNvPicPr>
      </xdr:nvPicPr>
      <xdr:blipFill>
        <a:blip r:embed="rId3"/>
        <a:stretch>
          <a:fillRect/>
        </a:stretch>
      </xdr:blipFill>
      <xdr:spPr>
        <a:xfrm>
          <a:off x="13970000" y="7197725"/>
          <a:ext cx="3270250" cy="3508375"/>
        </a:xfrm>
        <a:prstGeom prst="rect">
          <a:avLst/>
        </a:prstGeom>
      </xdr:spPr>
    </xdr:pic>
    <xdr:clientData/>
  </xdr:twoCellAnchor>
  <xdr:twoCellAnchor editAs="oneCell">
    <xdr:from>
      <xdr:col>10</xdr:col>
      <xdr:colOff>238125</xdr:colOff>
      <xdr:row>16</xdr:row>
      <xdr:rowOff>142875</xdr:rowOff>
    </xdr:from>
    <xdr:to>
      <xdr:col>15</xdr:col>
      <xdr:colOff>152400</xdr:colOff>
      <xdr:row>34</xdr:row>
      <xdr:rowOff>179070</xdr:rowOff>
    </xdr:to>
    <xdr:pic>
      <xdr:nvPicPr>
        <xdr:cNvPr id="5" name="Picture 4" descr="Screenshot from 2021-06-08 12-08-32"/>
        <xdr:cNvPicPr>
          <a:picLocks noChangeAspect="true"/>
        </xdr:cNvPicPr>
      </xdr:nvPicPr>
      <xdr:blipFill>
        <a:blip r:embed="rId4"/>
        <a:stretch>
          <a:fillRect/>
        </a:stretch>
      </xdr:blipFill>
      <xdr:spPr>
        <a:xfrm>
          <a:off x="9591675" y="3343275"/>
          <a:ext cx="4105275" cy="3636645"/>
        </a:xfrm>
        <a:prstGeom prst="rect">
          <a:avLst/>
        </a:prstGeom>
      </xdr:spPr>
    </xdr:pic>
    <xdr:clientData/>
  </xdr:twoCellAnchor>
  <xdr:twoCellAnchor editAs="oneCell">
    <xdr:from>
      <xdr:col>3</xdr:col>
      <xdr:colOff>746125</xdr:colOff>
      <xdr:row>17</xdr:row>
      <xdr:rowOff>69850</xdr:rowOff>
    </xdr:from>
    <xdr:to>
      <xdr:col>9</xdr:col>
      <xdr:colOff>714375</xdr:colOff>
      <xdr:row>36</xdr:row>
      <xdr:rowOff>66675</xdr:rowOff>
    </xdr:to>
    <xdr:pic>
      <xdr:nvPicPr>
        <xdr:cNvPr id="6" name="Picture 5" descr="Screenshot from 2021-06-08 12-08-36"/>
        <xdr:cNvPicPr>
          <a:picLocks noChangeAspect="true"/>
        </xdr:cNvPicPr>
      </xdr:nvPicPr>
      <xdr:blipFill>
        <a:blip r:embed="rId5"/>
        <a:stretch>
          <a:fillRect/>
        </a:stretch>
      </xdr:blipFill>
      <xdr:spPr>
        <a:xfrm>
          <a:off x="4232275" y="3470275"/>
          <a:ext cx="4997450" cy="3797300"/>
        </a:xfrm>
        <a:prstGeom prst="rect">
          <a:avLst/>
        </a:prstGeom>
      </xdr:spPr>
    </xdr:pic>
    <xdr:clientData/>
  </xdr:twoCellAnchor>
  <xdr:twoCellAnchor editAs="oneCell">
    <xdr:from>
      <xdr:col>11</xdr:col>
      <xdr:colOff>539750</xdr:colOff>
      <xdr:row>55</xdr:row>
      <xdr:rowOff>139700</xdr:rowOff>
    </xdr:from>
    <xdr:to>
      <xdr:col>17</xdr:col>
      <xdr:colOff>504825</xdr:colOff>
      <xdr:row>70</xdr:row>
      <xdr:rowOff>142875</xdr:rowOff>
    </xdr:to>
    <xdr:pic>
      <xdr:nvPicPr>
        <xdr:cNvPr id="7" name="Picture 6" descr="Screenshot from 2021-06-08 12-08-42"/>
        <xdr:cNvPicPr>
          <a:picLocks noChangeAspect="true"/>
        </xdr:cNvPicPr>
      </xdr:nvPicPr>
      <xdr:blipFill>
        <a:blip r:embed="rId6"/>
        <a:stretch>
          <a:fillRect/>
        </a:stretch>
      </xdr:blipFill>
      <xdr:spPr>
        <a:xfrm>
          <a:off x="10731500" y="11141075"/>
          <a:ext cx="4994275" cy="3003550"/>
        </a:xfrm>
        <a:prstGeom prst="rect">
          <a:avLst/>
        </a:prstGeom>
      </xdr:spPr>
    </xdr:pic>
    <xdr:clientData/>
  </xdr:twoCellAnchor>
  <xdr:twoCellAnchor editAs="oneCell">
    <xdr:from>
      <xdr:col>11</xdr:col>
      <xdr:colOff>323850</xdr:colOff>
      <xdr:row>70</xdr:row>
      <xdr:rowOff>28575</xdr:rowOff>
    </xdr:from>
    <xdr:to>
      <xdr:col>16</xdr:col>
      <xdr:colOff>685800</xdr:colOff>
      <xdr:row>83</xdr:row>
      <xdr:rowOff>76200</xdr:rowOff>
    </xdr:to>
    <xdr:pic>
      <xdr:nvPicPr>
        <xdr:cNvPr id="8" name="Picture 7" descr="Screenshot from 2021-06-08 12-08-47"/>
        <xdr:cNvPicPr>
          <a:picLocks noChangeAspect="true"/>
        </xdr:cNvPicPr>
      </xdr:nvPicPr>
      <xdr:blipFill>
        <a:blip r:embed="rId7"/>
        <a:stretch>
          <a:fillRect/>
        </a:stretch>
      </xdr:blipFill>
      <xdr:spPr>
        <a:xfrm>
          <a:off x="10515600" y="14030325"/>
          <a:ext cx="4552950" cy="2647950"/>
        </a:xfrm>
        <a:prstGeom prst="rect">
          <a:avLst/>
        </a:prstGeom>
      </xdr:spPr>
    </xdr:pic>
    <xdr:clientData/>
  </xdr:twoCellAnchor>
  <xdr:twoCellAnchor editAs="oneCell">
    <xdr:from>
      <xdr:col>6</xdr:col>
      <xdr:colOff>365125</xdr:colOff>
      <xdr:row>65</xdr:row>
      <xdr:rowOff>98425</xdr:rowOff>
    </xdr:from>
    <xdr:to>
      <xdr:col>11</xdr:col>
      <xdr:colOff>633730</xdr:colOff>
      <xdr:row>81</xdr:row>
      <xdr:rowOff>100330</xdr:rowOff>
    </xdr:to>
    <xdr:pic>
      <xdr:nvPicPr>
        <xdr:cNvPr id="9" name="Picture 8" descr="Screenshot from 2021-06-08 12-08-50"/>
        <xdr:cNvPicPr>
          <a:picLocks noChangeAspect="true"/>
        </xdr:cNvPicPr>
      </xdr:nvPicPr>
      <xdr:blipFill>
        <a:blip r:embed="rId8"/>
        <a:stretch>
          <a:fillRect/>
        </a:stretch>
      </xdr:blipFill>
      <xdr:spPr>
        <a:xfrm>
          <a:off x="6365875" y="13100050"/>
          <a:ext cx="4459605" cy="3202305"/>
        </a:xfrm>
        <a:prstGeom prst="rect">
          <a:avLst/>
        </a:prstGeom>
      </xdr:spPr>
    </xdr:pic>
    <xdr:clientData/>
  </xdr:twoCellAnchor>
  <xdr:twoCellAnchor editAs="oneCell">
    <xdr:from>
      <xdr:col>11</xdr:col>
      <xdr:colOff>15875</xdr:colOff>
      <xdr:row>83</xdr:row>
      <xdr:rowOff>92075</xdr:rowOff>
    </xdr:from>
    <xdr:to>
      <xdr:col>16</xdr:col>
      <xdr:colOff>432435</xdr:colOff>
      <xdr:row>98</xdr:row>
      <xdr:rowOff>142875</xdr:rowOff>
    </xdr:to>
    <xdr:pic>
      <xdr:nvPicPr>
        <xdr:cNvPr id="10" name="Picture 9" descr="Screenshot from 2021-06-08 12-08-53"/>
        <xdr:cNvPicPr>
          <a:picLocks noChangeAspect="true"/>
        </xdr:cNvPicPr>
      </xdr:nvPicPr>
      <xdr:blipFill>
        <a:blip r:embed="rId9"/>
        <a:stretch>
          <a:fillRect/>
        </a:stretch>
      </xdr:blipFill>
      <xdr:spPr>
        <a:xfrm>
          <a:off x="10207625" y="16694150"/>
          <a:ext cx="4607560" cy="3051175"/>
        </a:xfrm>
        <a:prstGeom prst="rect">
          <a:avLst/>
        </a:prstGeom>
      </xdr:spPr>
    </xdr:pic>
    <xdr:clientData/>
  </xdr:twoCellAnchor>
  <xdr:twoCellAnchor editAs="oneCell">
    <xdr:from>
      <xdr:col>9</xdr:col>
      <xdr:colOff>409575</xdr:colOff>
      <xdr:row>35</xdr:row>
      <xdr:rowOff>152400</xdr:rowOff>
    </xdr:from>
    <xdr:to>
      <xdr:col>14</xdr:col>
      <xdr:colOff>506095</xdr:colOff>
      <xdr:row>51</xdr:row>
      <xdr:rowOff>12065</xdr:rowOff>
    </xdr:to>
    <xdr:pic>
      <xdr:nvPicPr>
        <xdr:cNvPr id="11" name="Picture 10" descr="Screenshot from 2021-06-08 12-08-57"/>
        <xdr:cNvPicPr>
          <a:picLocks noChangeAspect="true"/>
        </xdr:cNvPicPr>
      </xdr:nvPicPr>
      <xdr:blipFill>
        <a:blip r:embed="rId10"/>
        <a:stretch>
          <a:fillRect/>
        </a:stretch>
      </xdr:blipFill>
      <xdr:spPr>
        <a:xfrm>
          <a:off x="8924925" y="7153275"/>
          <a:ext cx="4287520" cy="3060065"/>
        </a:xfrm>
        <a:prstGeom prst="rect">
          <a:avLst/>
        </a:prstGeom>
      </xdr:spPr>
    </xdr:pic>
    <xdr:clientData/>
  </xdr:twoCellAnchor>
  <xdr:twoCellAnchor editAs="oneCell">
    <xdr:from>
      <xdr:col>5</xdr:col>
      <xdr:colOff>450850</xdr:colOff>
      <xdr:row>52</xdr:row>
      <xdr:rowOff>60325</xdr:rowOff>
    </xdr:from>
    <xdr:to>
      <xdr:col>10</xdr:col>
      <xdr:colOff>46990</xdr:colOff>
      <xdr:row>65</xdr:row>
      <xdr:rowOff>99060</xdr:rowOff>
    </xdr:to>
    <xdr:pic>
      <xdr:nvPicPr>
        <xdr:cNvPr id="12" name="Picture 11" descr="Screenshot from 2021-06-08 12-09-01"/>
        <xdr:cNvPicPr>
          <a:picLocks noChangeAspect="true"/>
        </xdr:cNvPicPr>
      </xdr:nvPicPr>
      <xdr:blipFill>
        <a:blip r:embed="rId11"/>
        <a:stretch>
          <a:fillRect/>
        </a:stretch>
      </xdr:blipFill>
      <xdr:spPr>
        <a:xfrm>
          <a:off x="5613400" y="10461625"/>
          <a:ext cx="3787140" cy="2639060"/>
        </a:xfrm>
        <a:prstGeom prst="rect">
          <a:avLst/>
        </a:prstGeom>
      </xdr:spPr>
    </xdr:pic>
    <xdr:clientData/>
  </xdr:twoCellAnchor>
  <xdr:twoCellAnchor editAs="oneCell">
    <xdr:from>
      <xdr:col>0</xdr:col>
      <xdr:colOff>539750</xdr:colOff>
      <xdr:row>66</xdr:row>
      <xdr:rowOff>25400</xdr:rowOff>
    </xdr:from>
    <xdr:to>
      <xdr:col>6</xdr:col>
      <xdr:colOff>225425</xdr:colOff>
      <xdr:row>80</xdr:row>
      <xdr:rowOff>80010</xdr:rowOff>
    </xdr:to>
    <xdr:pic>
      <xdr:nvPicPr>
        <xdr:cNvPr id="13" name="Picture 12" descr="Screenshot from 2021-06-08 12-09-06"/>
        <xdr:cNvPicPr>
          <a:picLocks noChangeAspect="true"/>
        </xdr:cNvPicPr>
      </xdr:nvPicPr>
      <xdr:blipFill>
        <a:blip r:embed="rId12"/>
        <a:stretch>
          <a:fillRect/>
        </a:stretch>
      </xdr:blipFill>
      <xdr:spPr>
        <a:xfrm>
          <a:off x="539750" y="13227050"/>
          <a:ext cx="5686425" cy="2854960"/>
        </a:xfrm>
        <a:prstGeom prst="rect">
          <a:avLst/>
        </a:prstGeom>
      </xdr:spPr>
    </xdr:pic>
    <xdr:clientData/>
  </xdr:twoCellAnchor>
  <xdr:twoCellAnchor editAs="oneCell">
    <xdr:from>
      <xdr:col>0</xdr:col>
      <xdr:colOff>352425</xdr:colOff>
      <xdr:row>47</xdr:row>
      <xdr:rowOff>9525</xdr:rowOff>
    </xdr:from>
    <xdr:to>
      <xdr:col>5</xdr:col>
      <xdr:colOff>370840</xdr:colOff>
      <xdr:row>65</xdr:row>
      <xdr:rowOff>75565</xdr:rowOff>
    </xdr:to>
    <xdr:pic>
      <xdr:nvPicPr>
        <xdr:cNvPr id="14" name="Picture 13" descr="Screenshot from 2021-06-08 12-09-11"/>
        <xdr:cNvPicPr>
          <a:picLocks noChangeAspect="true"/>
        </xdr:cNvPicPr>
      </xdr:nvPicPr>
      <xdr:blipFill>
        <a:blip r:embed="rId13"/>
        <a:stretch>
          <a:fillRect/>
        </a:stretch>
      </xdr:blipFill>
      <xdr:spPr>
        <a:xfrm>
          <a:off x="352425" y="9410700"/>
          <a:ext cx="5180965" cy="3666490"/>
        </a:xfrm>
        <a:prstGeom prst="rect">
          <a:avLst/>
        </a:prstGeom>
      </xdr:spPr>
    </xdr:pic>
    <xdr:clientData/>
  </xdr:twoCellAnchor>
  <xdr:twoCellAnchor editAs="oneCell">
    <xdr:from>
      <xdr:col>0</xdr:col>
      <xdr:colOff>346075</xdr:colOff>
      <xdr:row>82</xdr:row>
      <xdr:rowOff>136525</xdr:rowOff>
    </xdr:from>
    <xdr:to>
      <xdr:col>5</xdr:col>
      <xdr:colOff>396240</xdr:colOff>
      <xdr:row>95</xdr:row>
      <xdr:rowOff>104775</xdr:rowOff>
    </xdr:to>
    <xdr:pic>
      <xdr:nvPicPr>
        <xdr:cNvPr id="15" name="Picture 14" descr="Screenshot from 2021-06-08 12-09-15"/>
        <xdr:cNvPicPr>
          <a:picLocks noChangeAspect="true"/>
        </xdr:cNvPicPr>
      </xdr:nvPicPr>
      <xdr:blipFill>
        <a:blip r:embed="rId14"/>
        <a:stretch>
          <a:fillRect/>
        </a:stretch>
      </xdr:blipFill>
      <xdr:spPr>
        <a:xfrm>
          <a:off x="346075" y="16538575"/>
          <a:ext cx="5212715" cy="2568575"/>
        </a:xfrm>
        <a:prstGeom prst="rect">
          <a:avLst/>
        </a:prstGeom>
      </xdr:spPr>
    </xdr:pic>
    <xdr:clientData/>
  </xdr:twoCellAnchor>
  <xdr:twoCellAnchor editAs="oneCell">
    <xdr:from>
      <xdr:col>5</xdr:col>
      <xdr:colOff>767715</xdr:colOff>
      <xdr:row>82</xdr:row>
      <xdr:rowOff>139700</xdr:rowOff>
    </xdr:from>
    <xdr:to>
      <xdr:col>10</xdr:col>
      <xdr:colOff>424815</xdr:colOff>
      <xdr:row>96</xdr:row>
      <xdr:rowOff>47625</xdr:rowOff>
    </xdr:to>
    <xdr:pic>
      <xdr:nvPicPr>
        <xdr:cNvPr id="16" name="Picture 15" descr="Screenshot from 2021-06-08 12-09-20"/>
        <xdr:cNvPicPr>
          <a:picLocks noChangeAspect="true"/>
        </xdr:cNvPicPr>
      </xdr:nvPicPr>
      <xdr:blipFill>
        <a:blip r:embed="rId15"/>
        <a:stretch>
          <a:fillRect/>
        </a:stretch>
      </xdr:blipFill>
      <xdr:spPr>
        <a:xfrm>
          <a:off x="5930265" y="16541750"/>
          <a:ext cx="3848100" cy="2708275"/>
        </a:xfrm>
        <a:prstGeom prst="rect">
          <a:avLst/>
        </a:prstGeom>
      </xdr:spPr>
    </xdr:pic>
    <xdr:clientData/>
  </xdr:twoCellAnchor>
  <xdr:twoCellAnchor editAs="oneCell">
    <xdr:from>
      <xdr:col>11</xdr:col>
      <xdr:colOff>581025</xdr:colOff>
      <xdr:row>28</xdr:row>
      <xdr:rowOff>171450</xdr:rowOff>
    </xdr:from>
    <xdr:to>
      <xdr:col>13</xdr:col>
      <xdr:colOff>695325</xdr:colOff>
      <xdr:row>28</xdr:row>
      <xdr:rowOff>171450</xdr:rowOff>
    </xdr:to>
    <xdr:pic>
      <xdr:nvPicPr>
        <xdr:cNvPr id="17" name="Picture 16" descr="Screenshot from 2021-06-08 12-09-23"/>
        <xdr:cNvPicPr>
          <a:picLocks noChangeAspect="true"/>
        </xdr:cNvPicPr>
      </xdr:nvPicPr>
      <xdr:blipFill>
        <a:blip r:embed="rId16"/>
        <a:stretch>
          <a:fillRect/>
        </a:stretch>
      </xdr:blipFill>
      <xdr:spPr>
        <a:xfrm>
          <a:off x="10772775" y="5772150"/>
          <a:ext cx="1790700" cy="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167005</xdr:colOff>
      <xdr:row>8</xdr:row>
      <xdr:rowOff>150495</xdr:rowOff>
    </xdr:from>
    <xdr:to>
      <xdr:col>13</xdr:col>
      <xdr:colOff>90805</xdr:colOff>
      <xdr:row>30</xdr:row>
      <xdr:rowOff>198120</xdr:rowOff>
    </xdr:to>
    <xdr:pic>
      <xdr:nvPicPr>
        <xdr:cNvPr id="2" name="Picture 1" descr="Screenshot from 2021-06-09 08-55-13"/>
        <xdr:cNvPicPr>
          <a:picLocks noChangeAspect="true"/>
        </xdr:cNvPicPr>
      </xdr:nvPicPr>
      <xdr:blipFill>
        <a:blip r:embed="rId1"/>
        <a:stretch>
          <a:fillRect/>
        </a:stretch>
      </xdr:blipFill>
      <xdr:spPr>
        <a:xfrm>
          <a:off x="4310380" y="1750695"/>
          <a:ext cx="7467600" cy="4448175"/>
        </a:xfrm>
        <a:prstGeom prst="rect">
          <a:avLst/>
        </a:prstGeom>
      </xdr:spPr>
    </xdr:pic>
    <xdr:clientData/>
  </xdr:twoCellAnchor>
  <xdr:twoCellAnchor editAs="oneCell">
    <xdr:from>
      <xdr:col>13</xdr:col>
      <xdr:colOff>217170</xdr:colOff>
      <xdr:row>27</xdr:row>
      <xdr:rowOff>57150</xdr:rowOff>
    </xdr:from>
    <xdr:to>
      <xdr:col>23</xdr:col>
      <xdr:colOff>238760</xdr:colOff>
      <xdr:row>38</xdr:row>
      <xdr:rowOff>80645</xdr:rowOff>
    </xdr:to>
    <xdr:pic>
      <xdr:nvPicPr>
        <xdr:cNvPr id="3" name="Picture 2" descr="Screenshot from 2021-06-09 08-55-22"/>
        <xdr:cNvPicPr>
          <a:picLocks noChangeAspect="true"/>
        </xdr:cNvPicPr>
      </xdr:nvPicPr>
      <xdr:blipFill>
        <a:blip r:embed="rId2"/>
        <a:stretch>
          <a:fillRect/>
        </a:stretch>
      </xdr:blipFill>
      <xdr:spPr>
        <a:xfrm>
          <a:off x="11904345" y="5457825"/>
          <a:ext cx="8403590" cy="2223770"/>
        </a:xfrm>
        <a:prstGeom prst="rect">
          <a:avLst/>
        </a:prstGeom>
      </xdr:spPr>
    </xdr:pic>
    <xdr:clientData/>
  </xdr:twoCellAnchor>
  <xdr:twoCellAnchor editAs="oneCell">
    <xdr:from>
      <xdr:col>4</xdr:col>
      <xdr:colOff>213360</xdr:colOff>
      <xdr:row>34</xdr:row>
      <xdr:rowOff>55245</xdr:rowOff>
    </xdr:from>
    <xdr:to>
      <xdr:col>12</xdr:col>
      <xdr:colOff>35560</xdr:colOff>
      <xdr:row>46</xdr:row>
      <xdr:rowOff>66675</xdr:rowOff>
    </xdr:to>
    <xdr:pic>
      <xdr:nvPicPr>
        <xdr:cNvPr id="4" name="Picture 3" descr="Screenshot from 2021-06-09 08-55-27"/>
        <xdr:cNvPicPr>
          <a:picLocks noChangeAspect="true"/>
        </xdr:cNvPicPr>
      </xdr:nvPicPr>
      <xdr:blipFill>
        <a:blip r:embed="rId3"/>
        <a:stretch>
          <a:fillRect/>
        </a:stretch>
      </xdr:blipFill>
      <xdr:spPr>
        <a:xfrm>
          <a:off x="4356735" y="6856095"/>
          <a:ext cx="6527800" cy="2411730"/>
        </a:xfrm>
        <a:prstGeom prst="rect">
          <a:avLst/>
        </a:prstGeom>
      </xdr:spPr>
    </xdr:pic>
    <xdr:clientData/>
  </xdr:twoCellAnchor>
  <xdr:twoCellAnchor editAs="oneCell">
    <xdr:from>
      <xdr:col>13</xdr:col>
      <xdr:colOff>60960</xdr:colOff>
      <xdr:row>8</xdr:row>
      <xdr:rowOff>156845</xdr:rowOff>
    </xdr:from>
    <xdr:to>
      <xdr:col>20</xdr:col>
      <xdr:colOff>210185</xdr:colOff>
      <xdr:row>26</xdr:row>
      <xdr:rowOff>12065</xdr:rowOff>
    </xdr:to>
    <xdr:pic>
      <xdr:nvPicPr>
        <xdr:cNvPr id="5" name="Picture 4" descr="Screenshot from 2021-06-09 08-55-39"/>
        <xdr:cNvPicPr>
          <a:picLocks noChangeAspect="true"/>
        </xdr:cNvPicPr>
      </xdr:nvPicPr>
      <xdr:blipFill>
        <a:blip r:embed="rId4"/>
        <a:stretch>
          <a:fillRect/>
        </a:stretch>
      </xdr:blipFill>
      <xdr:spPr>
        <a:xfrm>
          <a:off x="11748135" y="1757045"/>
          <a:ext cx="6016625" cy="3455670"/>
        </a:xfrm>
        <a:prstGeom prst="rect">
          <a:avLst/>
        </a:prstGeom>
      </xdr:spPr>
    </xdr:pic>
    <xdr:clientData/>
  </xdr:twoCellAnchor>
  <xdr:twoCellAnchor editAs="oneCell">
    <xdr:from>
      <xdr:col>12</xdr:col>
      <xdr:colOff>619125</xdr:colOff>
      <xdr:row>41</xdr:row>
      <xdr:rowOff>63500</xdr:rowOff>
    </xdr:from>
    <xdr:to>
      <xdr:col>19</xdr:col>
      <xdr:colOff>701675</xdr:colOff>
      <xdr:row>57</xdr:row>
      <xdr:rowOff>104775</xdr:rowOff>
    </xdr:to>
    <xdr:pic>
      <xdr:nvPicPr>
        <xdr:cNvPr id="6" name="Picture 5" descr="Screenshot from 2021-06-09 08-55-58"/>
        <xdr:cNvPicPr>
          <a:picLocks noChangeAspect="true"/>
        </xdr:cNvPicPr>
      </xdr:nvPicPr>
      <xdr:blipFill>
        <a:blip r:embed="rId5"/>
        <a:stretch>
          <a:fillRect/>
        </a:stretch>
      </xdr:blipFill>
      <xdr:spPr>
        <a:xfrm>
          <a:off x="11468100" y="8264525"/>
          <a:ext cx="5949950" cy="3241675"/>
        </a:xfrm>
        <a:prstGeom prst="rect">
          <a:avLst/>
        </a:prstGeom>
      </xdr:spPr>
    </xdr:pic>
    <xdr:clientData/>
  </xdr:twoCellAnchor>
  <xdr:twoCellAnchor editAs="oneCell">
    <xdr:from>
      <xdr:col>0</xdr:col>
      <xdr:colOff>1270</xdr:colOff>
      <xdr:row>46</xdr:row>
      <xdr:rowOff>102235</xdr:rowOff>
    </xdr:from>
    <xdr:to>
      <xdr:col>4</xdr:col>
      <xdr:colOff>709295</xdr:colOff>
      <xdr:row>79</xdr:row>
      <xdr:rowOff>124460</xdr:rowOff>
    </xdr:to>
    <xdr:pic>
      <xdr:nvPicPr>
        <xdr:cNvPr id="7" name="Picture 6" descr="Screenshot from 2021-06-09 08-58-31"/>
        <xdr:cNvPicPr>
          <a:picLocks noChangeAspect="true"/>
        </xdr:cNvPicPr>
      </xdr:nvPicPr>
      <xdr:blipFill>
        <a:blip r:embed="rId6"/>
        <a:stretch>
          <a:fillRect/>
        </a:stretch>
      </xdr:blipFill>
      <xdr:spPr>
        <a:xfrm>
          <a:off x="1270" y="9303385"/>
          <a:ext cx="4851400" cy="662305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R41"/>
  <sheetViews>
    <sheetView tabSelected="1" workbookViewId="0">
      <selection activeCell="F5" sqref="F5"/>
    </sheetView>
  </sheetViews>
  <sheetFormatPr defaultColWidth="8.8" defaultRowHeight="15.75"/>
  <cols>
    <col min="1" max="1" width="2.6" customWidth="true"/>
    <col min="2" max="2" width="20" style="35" customWidth="true"/>
    <col min="3" max="3" width="6.2" customWidth="true"/>
    <col min="4" max="4" width="15.2" customWidth="true"/>
    <col min="5" max="5" width="6.7" customWidth="true"/>
    <col min="6" max="6" width="7.3" customWidth="true"/>
    <col min="7" max="7" width="9.6" customWidth="true"/>
    <col min="8" max="8" width="7.8" customWidth="true"/>
    <col min="9" max="9" width="8.1" customWidth="true"/>
    <col min="10" max="10" width="6.9" customWidth="true"/>
    <col min="11" max="11" width="7.3" customWidth="true"/>
    <col min="12" max="12" width="40" style="36" customWidth="true"/>
    <col min="13" max="13" width="6.7" customWidth="true"/>
    <col min="14" max="14" width="7.1" customWidth="true"/>
    <col min="15" max="15" width="7.4" customWidth="true"/>
    <col min="16" max="16" width="7.8" customWidth="true"/>
    <col min="17" max="17" width="8.3" customWidth="true"/>
  </cols>
  <sheetData>
    <row r="1" s="29" customFormat="true" ht="31.5" spans="2:17">
      <c r="B1" s="37" t="s">
        <v>0</v>
      </c>
      <c r="C1" s="38" t="s">
        <v>1</v>
      </c>
      <c r="D1" s="39" t="s">
        <v>2</v>
      </c>
      <c r="E1" s="39" t="s">
        <v>3</v>
      </c>
      <c r="F1" s="38"/>
      <c r="G1" s="39" t="s">
        <v>4</v>
      </c>
      <c r="H1" s="58"/>
      <c r="I1" s="38" t="s">
        <v>5</v>
      </c>
      <c r="J1" s="39" t="s">
        <v>6</v>
      </c>
      <c r="K1" s="58"/>
      <c r="L1" s="71" t="s">
        <v>7</v>
      </c>
      <c r="M1" s="39" t="s">
        <v>8</v>
      </c>
      <c r="N1" s="38"/>
      <c r="O1" s="39" t="s">
        <v>9</v>
      </c>
      <c r="P1" s="58"/>
      <c r="Q1" s="38" t="s">
        <v>10</v>
      </c>
    </row>
    <row r="2" s="30" customFormat="true" spans="1:17">
      <c r="A2" s="30" t="s">
        <v>11</v>
      </c>
      <c r="B2" s="40"/>
      <c r="C2" s="41"/>
      <c r="D2" s="42"/>
      <c r="E2" s="59" t="s">
        <v>12</v>
      </c>
      <c r="F2" s="60" t="s">
        <v>13</v>
      </c>
      <c r="G2" s="59" t="s">
        <v>14</v>
      </c>
      <c r="H2" s="61" t="s">
        <v>15</v>
      </c>
      <c r="I2" s="60" t="s">
        <v>16</v>
      </c>
      <c r="J2" s="59" t="s">
        <v>17</v>
      </c>
      <c r="K2" s="72" t="s">
        <v>18</v>
      </c>
      <c r="L2" s="73"/>
      <c r="M2" s="59" t="s">
        <v>12</v>
      </c>
      <c r="N2" s="60" t="s">
        <v>13</v>
      </c>
      <c r="O2" s="59" t="s">
        <v>14</v>
      </c>
      <c r="P2" s="61" t="s">
        <v>15</v>
      </c>
      <c r="Q2" s="60" t="s">
        <v>16</v>
      </c>
    </row>
    <row r="3" ht="24" spans="1:18">
      <c r="A3">
        <v>1</v>
      </c>
      <c r="B3" s="43" t="s">
        <v>19</v>
      </c>
      <c r="C3" s="44" t="str">
        <f>Buchner1995!B45</f>
        <v>Ship</v>
      </c>
      <c r="D3" s="44" t="str">
        <f>Buchner1995!$B$46</f>
        <v>JONSWAP</v>
      </c>
      <c r="E3" s="62">
        <f>Buchner1995!$B$24</f>
        <v>1.4459137825841</v>
      </c>
      <c r="F3" s="62">
        <f>Buchner1995!$B$32</f>
        <v>1.66538283886919</v>
      </c>
      <c r="G3" s="62">
        <f>Buchner1995!$B$25</f>
        <v>0.288333333333333</v>
      </c>
      <c r="H3" s="62">
        <f>Buchner1995!$B$33</f>
        <v>0.286333333333333</v>
      </c>
      <c r="I3" s="62">
        <f>Buchner1995!$B$6</f>
        <v>0.258198889747161</v>
      </c>
      <c r="J3" s="74">
        <f>Buchner1995!$B$19</f>
        <v>0.0166666666666667</v>
      </c>
      <c r="K3" s="75">
        <f t="shared" ref="K3:K6" si="0">1/J3</f>
        <v>59.9999999999999</v>
      </c>
      <c r="L3" s="76" t="s">
        <v>20</v>
      </c>
      <c r="M3" s="62">
        <f t="shared" ref="M3:Q3" si="1">E3*SQRT($K3)</f>
        <v>11.2</v>
      </c>
      <c r="N3" s="62">
        <f t="shared" si="1"/>
        <v>12.9</v>
      </c>
      <c r="O3" s="62">
        <f>G3*$K3</f>
        <v>17.2999999999999</v>
      </c>
      <c r="P3" s="62">
        <f>H3*$K3</f>
        <v>17.1799999999999</v>
      </c>
      <c r="Q3" s="62">
        <f t="shared" si="1"/>
        <v>2</v>
      </c>
      <c r="R3" s="44"/>
    </row>
    <row r="4" s="31" customFormat="true" ht="48" spans="1:18">
      <c r="A4" s="31">
        <v>2</v>
      </c>
      <c r="B4" s="45" t="s">
        <v>21</v>
      </c>
      <c r="C4" s="46" t="str">
        <f>Hamoudi1998!$B$45</f>
        <v>Ship</v>
      </c>
      <c r="D4" s="46" t="str">
        <f>Hamoudi1998!$B$46</f>
        <v>JONSWAP</v>
      </c>
      <c r="E4" s="63">
        <f>Hamoudi1998!$B$24</f>
        <v>0.956182887467515</v>
      </c>
      <c r="F4" s="63">
        <f>Hamoudi1998!$B$32</f>
        <v>1.43427433120127</v>
      </c>
      <c r="G4" s="63">
        <f>Hamoudi1998!$B$25</f>
        <v>0.717137165600636</v>
      </c>
      <c r="H4" s="63">
        <f>Hamoudi1998!$B$33</f>
        <v>0.114285714285714</v>
      </c>
      <c r="I4" s="63">
        <f>Hamoudi1998!$B$6</f>
        <v>0.495227220576575</v>
      </c>
      <c r="J4" s="77">
        <f>Hamoudi1998!$B$19</f>
        <v>0.0142857142857143</v>
      </c>
      <c r="K4" s="78">
        <f t="shared" si="0"/>
        <v>69.9999999999999</v>
      </c>
      <c r="L4" s="79" t="s">
        <v>22</v>
      </c>
      <c r="M4" s="63">
        <f t="shared" ref="M4:M25" si="2">E4*SQRT($K4)</f>
        <v>8</v>
      </c>
      <c r="N4" s="63">
        <f>F4*SQRT($K4)</f>
        <v>12</v>
      </c>
      <c r="O4" s="63">
        <f t="shared" ref="O4:O25" si="3">G4*$K4</f>
        <v>50.1996015920445</v>
      </c>
      <c r="P4" s="63">
        <f>H4*$K4</f>
        <v>7.99999999999997</v>
      </c>
      <c r="Q4" s="63">
        <f t="shared" ref="Q4:Q25" si="4">I4*SQRT($K4)</f>
        <v>4.14336819507994</v>
      </c>
      <c r="R4" s="46"/>
    </row>
    <row r="5" ht="48" spans="1:18">
      <c r="A5">
        <v>3</v>
      </c>
      <c r="B5" s="43" t="s">
        <v>23</v>
      </c>
      <c r="C5" s="44" t="str">
        <f>Ersdal2000!$B$45</f>
        <v>Ship</v>
      </c>
      <c r="D5" s="44" t="str">
        <f>Ersdal2000!$B$46</f>
        <v>Irregular</v>
      </c>
      <c r="E5" s="62">
        <f>Ersdal2000!$B$24</f>
        <v>13</v>
      </c>
      <c r="F5" s="62">
        <f>Ersdal2000!$B$32</f>
        <v>12</v>
      </c>
      <c r="G5" s="62">
        <f>Ersdal2000!$B$25</f>
        <v>7.5</v>
      </c>
      <c r="H5" s="62">
        <f>Ersdal2000!$B$33</f>
        <v>7</v>
      </c>
      <c r="I5" s="62">
        <f>Ersdal2000!$B$6</f>
        <v>0</v>
      </c>
      <c r="J5" s="74">
        <f>Ersdal2000!$B$19</f>
        <v>1</v>
      </c>
      <c r="K5" s="75">
        <f t="shared" si="0"/>
        <v>1</v>
      </c>
      <c r="L5" s="76" t="s">
        <v>24</v>
      </c>
      <c r="M5" s="62">
        <f t="shared" si="2"/>
        <v>13</v>
      </c>
      <c r="N5" s="62">
        <f>F5*SQRT($K5)</f>
        <v>12</v>
      </c>
      <c r="O5" s="62">
        <f t="shared" si="3"/>
        <v>7.5</v>
      </c>
      <c r="P5" s="62">
        <f>H5*$K5</f>
        <v>7</v>
      </c>
      <c r="Q5" s="62">
        <f t="shared" si="4"/>
        <v>0</v>
      </c>
      <c r="R5" s="44"/>
    </row>
    <row r="6" s="31" customFormat="true" ht="60" spans="1:18">
      <c r="A6" s="31">
        <v>4</v>
      </c>
      <c r="B6" s="45" t="s">
        <v>25</v>
      </c>
      <c r="C6" s="46" t="str">
        <f>Stansberg2001!$B$45</f>
        <v>Ship</v>
      </c>
      <c r="D6" s="46" t="str">
        <f>Stansberg2001!$B$46</f>
        <v>Irregular</v>
      </c>
      <c r="E6" s="63">
        <f>Stansberg2001!$B$24</f>
        <v>1.61807966991178</v>
      </c>
      <c r="F6" s="63">
        <f>Stansberg2001!$B$32</f>
        <v>1.88775961489708</v>
      </c>
      <c r="G6" s="63">
        <f>Stansberg2001!$B$25</f>
        <v>0.181818181818182</v>
      </c>
      <c r="H6" s="63">
        <f>Stansberg2001!$B$33</f>
        <v>0.290909090909091</v>
      </c>
      <c r="I6" s="63">
        <f>Stansberg2001!$B$6</f>
        <v>0</v>
      </c>
      <c r="J6" s="77">
        <f>Stansberg2001!$B$19</f>
        <v>0.0181818181818182</v>
      </c>
      <c r="K6" s="78">
        <f t="shared" si="0"/>
        <v>55</v>
      </c>
      <c r="L6" s="79" t="s">
        <v>26</v>
      </c>
      <c r="M6" s="63">
        <f t="shared" si="2"/>
        <v>12</v>
      </c>
      <c r="N6" s="63">
        <f>F6*SQRT($K6)</f>
        <v>14</v>
      </c>
      <c r="O6" s="63">
        <f t="shared" si="3"/>
        <v>10</v>
      </c>
      <c r="P6" s="63">
        <f>H6*$K6</f>
        <v>16</v>
      </c>
      <c r="Q6" s="63">
        <f t="shared" si="4"/>
        <v>0</v>
      </c>
      <c r="R6" s="46"/>
    </row>
    <row r="7" customFormat="true" ht="24" spans="1:18">
      <c r="A7">
        <v>5</v>
      </c>
      <c r="B7" s="43" t="s">
        <v>27</v>
      </c>
      <c r="C7" s="44" t="str">
        <f>Cox2001!$B$45</f>
        <v>Box</v>
      </c>
      <c r="D7" s="44" t="str">
        <f>Cox2001!$B$46</f>
        <v>JONSWAP</v>
      </c>
      <c r="E7" s="62">
        <f>Cox2001!$B$24</f>
        <v>1.18</v>
      </c>
      <c r="F7" s="62">
        <f>Cox2001!$B$32</f>
        <v>1.2</v>
      </c>
      <c r="G7" s="62">
        <f>Cox2001!$B$25</f>
        <v>0.0924</v>
      </c>
      <c r="H7" s="62">
        <f>Cox2001!$B$33</f>
        <v>0.1004</v>
      </c>
      <c r="I7" s="62">
        <f>Cox2001!$B$6</f>
        <v>0</v>
      </c>
      <c r="J7" s="74">
        <f>Cox2001!$B$19</f>
        <v>0</v>
      </c>
      <c r="K7" s="75" t="e">
        <f>1/J7</f>
        <v>#DIV/0!</v>
      </c>
      <c r="L7" s="76" t="s">
        <v>28</v>
      </c>
      <c r="M7" s="62"/>
      <c r="N7" s="62"/>
      <c r="O7" s="62"/>
      <c r="P7" s="62"/>
      <c r="Q7" s="62"/>
      <c r="R7" s="44"/>
    </row>
    <row r="8" s="31" customFormat="true" ht="72" spans="1:18">
      <c r="A8" s="31">
        <v>6</v>
      </c>
      <c r="B8" s="45" t="s">
        <v>29</v>
      </c>
      <c r="C8" s="46" t="str">
        <f>Ogawa2001!$B$45</f>
        <v>Ship</v>
      </c>
      <c r="D8" s="46" t="str">
        <f>Ogawa2001!$B$46</f>
        <v>Regular&amp;Irregular</v>
      </c>
      <c r="E8" s="63">
        <f>Ogawa2001!$B$24</f>
        <v>1.2398620013031</v>
      </c>
      <c r="F8" s="63">
        <f>Ogawa2001!$B$32</f>
        <v>1.99029508866106</v>
      </c>
      <c r="G8" s="63">
        <f>Ogawa2001!$B$25</f>
        <v>0.08</v>
      </c>
      <c r="H8" s="63">
        <f>Ogawa2001!$B$33</f>
        <v>0.2</v>
      </c>
      <c r="I8" s="63">
        <f>Ogawa2001!$B$6</f>
        <v>0.626418390534633</v>
      </c>
      <c r="J8" s="77">
        <f>Ogawa2001!$B$19</f>
        <v>0.0555555555555556</v>
      </c>
      <c r="K8" s="78">
        <f>1/J8</f>
        <v>18</v>
      </c>
      <c r="L8" s="79" t="s">
        <v>30</v>
      </c>
      <c r="M8" s="63">
        <f t="shared" si="2"/>
        <v>5.26028897314167</v>
      </c>
      <c r="N8" s="63">
        <f>F8*SQRT($K8)</f>
        <v>8.4441069225271</v>
      </c>
      <c r="O8" s="63">
        <f t="shared" si="3"/>
        <v>1.44</v>
      </c>
      <c r="P8" s="63">
        <f>H8*$K8</f>
        <v>3.6</v>
      </c>
      <c r="Q8" s="63">
        <f t="shared" si="4"/>
        <v>2.65766815084201</v>
      </c>
      <c r="R8" s="46"/>
    </row>
    <row r="9" customFormat="true" ht="24" spans="1:18">
      <c r="A9">
        <v>7</v>
      </c>
      <c r="B9" s="43" t="s">
        <v>31</v>
      </c>
      <c r="C9" s="44" t="str">
        <f>Faltinsen2002!$B$45</f>
        <v>Box</v>
      </c>
      <c r="D9" s="44" t="str">
        <f>Faltinsen2002!$B$46</f>
        <v>Regular</v>
      </c>
      <c r="E9" s="62">
        <f>Faltinsen2002!$B$24</f>
        <v>0</v>
      </c>
      <c r="F9" s="62">
        <f>Faltinsen2002!$B$32</f>
        <v>0</v>
      </c>
      <c r="G9" s="62">
        <f>Faltinsen2002!$B$25</f>
        <v>0</v>
      </c>
      <c r="H9" s="62">
        <f>Faltinsen2002!$B$33</f>
        <v>0</v>
      </c>
      <c r="I9" s="62">
        <f>Faltinsen2002!$B$6</f>
        <v>0</v>
      </c>
      <c r="J9" s="74">
        <f>Faltinsen2002!$B$19</f>
        <v>0</v>
      </c>
      <c r="K9" s="75" t="e">
        <f>1/J9</f>
        <v>#DIV/0!</v>
      </c>
      <c r="L9" s="76" t="s">
        <v>32</v>
      </c>
      <c r="M9" s="62"/>
      <c r="N9" s="62"/>
      <c r="O9" s="62"/>
      <c r="P9" s="62"/>
      <c r="Q9" s="62"/>
      <c r="R9" s="44"/>
    </row>
    <row r="10" s="31" customFormat="true" ht="48" spans="1:18">
      <c r="A10" s="31">
        <v>8</v>
      </c>
      <c r="B10" s="45" t="s">
        <v>33</v>
      </c>
      <c r="C10" s="46" t="str">
        <f>Ogawa2003!$B$45</f>
        <v>Ship</v>
      </c>
      <c r="D10" s="46" t="str">
        <f>Ogawa2003!$B$46</f>
        <v>Regular&amp;Irregular</v>
      </c>
      <c r="E10" s="63">
        <f>Ogawa2003!$B$24</f>
        <v>1.459</v>
      </c>
      <c r="F10" s="63">
        <f>Ogawa2003!$B$32</f>
        <v>0</v>
      </c>
      <c r="G10" s="63">
        <f>Ogawa2003!$B$25</f>
        <v>0.174</v>
      </c>
      <c r="H10" s="63">
        <f>Ogawa2003!$B$33</f>
        <v>0</v>
      </c>
      <c r="I10" s="63">
        <f>Ogawa2003!$B$6</f>
        <v>0</v>
      </c>
      <c r="J10" s="77">
        <f>Ogawa2003!$B$19</f>
        <v>0.0522292993630573</v>
      </c>
      <c r="K10" s="78">
        <f>1/J10</f>
        <v>19.1463414634146</v>
      </c>
      <c r="L10" s="79" t="s">
        <v>34</v>
      </c>
      <c r="M10" s="63">
        <f t="shared" si="2"/>
        <v>6.38407810828493</v>
      </c>
      <c r="N10" s="63">
        <f>F10*SQRT($K10)</f>
        <v>0</v>
      </c>
      <c r="O10" s="63">
        <f t="shared" si="3"/>
        <v>3.33146341463415</v>
      </c>
      <c r="P10" s="63">
        <f>H10*$K10</f>
        <v>0</v>
      </c>
      <c r="Q10" s="63">
        <f t="shared" si="4"/>
        <v>0</v>
      </c>
      <c r="R10" s="46"/>
    </row>
    <row r="11" customFormat="true" ht="48" spans="1:18">
      <c r="A11">
        <v>9</v>
      </c>
      <c r="B11" s="43" t="s">
        <v>35</v>
      </c>
      <c r="C11" s="44" t="str">
        <f>Greco2004!$B$45</f>
        <v>Ship</v>
      </c>
      <c r="D11" s="44" t="str">
        <f>Greco2004!$B$46</f>
        <v>Breaking</v>
      </c>
      <c r="E11" s="62">
        <f>Greco2004!$B$24</f>
        <v>1.66537476088748</v>
      </c>
      <c r="F11" s="62" t="e">
        <f>Greco2004!$B$32</f>
        <v>#DIV/0!</v>
      </c>
      <c r="G11" s="62">
        <f>Greco2004!$B$25</f>
        <v>0.0861426129484884</v>
      </c>
      <c r="H11" s="62">
        <f>Greco2004!$B$33</f>
        <v>0.172285225896977</v>
      </c>
      <c r="I11" s="62">
        <f>Greco2004!$B$6</f>
        <v>0</v>
      </c>
      <c r="J11" s="74">
        <f>Greco2004!$B$19</f>
        <v>0</v>
      </c>
      <c r="K11" s="75" t="e">
        <f>1/J11</f>
        <v>#DIV/0!</v>
      </c>
      <c r="L11" s="76" t="s">
        <v>36</v>
      </c>
      <c r="M11" s="62"/>
      <c r="N11" s="62"/>
      <c r="O11" s="62"/>
      <c r="P11" s="62"/>
      <c r="Q11" s="62"/>
      <c r="R11" s="44"/>
    </row>
    <row r="12" s="31" customFormat="true" ht="24" spans="1:18">
      <c r="A12" s="31">
        <v>10</v>
      </c>
      <c r="B12" s="45" t="s">
        <v>37</v>
      </c>
      <c r="C12" s="46" t="str">
        <f>Mori2003!$B$45</f>
        <v>Box</v>
      </c>
      <c r="D12" s="46" t="str">
        <f>Mori2003!$B$46</f>
        <v>JONSWAP</v>
      </c>
      <c r="E12" s="63">
        <f>Mori2003!$B$24</f>
        <v>1.18</v>
      </c>
      <c r="F12" s="63">
        <f>Mori2003!$B$32</f>
        <v>1.2</v>
      </c>
      <c r="G12" s="63">
        <f>Mori2003!$B$25</f>
        <v>0.0924</v>
      </c>
      <c r="H12" s="63">
        <f>Mori2003!$B$33</f>
        <v>0.1004</v>
      </c>
      <c r="I12" s="63">
        <f>Mori2003!$B$6</f>
        <v>0</v>
      </c>
      <c r="J12" s="77">
        <f>Mori2003!$B$19</f>
        <v>0</v>
      </c>
      <c r="K12" s="78" t="e">
        <f t="shared" ref="K12:K16" si="5">1/J12</f>
        <v>#DIV/0!</v>
      </c>
      <c r="L12" s="79" t="s">
        <v>38</v>
      </c>
      <c r="M12" s="63"/>
      <c r="N12" s="63"/>
      <c r="O12" s="63"/>
      <c r="P12" s="63"/>
      <c r="Q12" s="63"/>
      <c r="R12" s="46"/>
    </row>
    <row r="13" customFormat="true" ht="36" spans="1:18">
      <c r="A13">
        <v>11</v>
      </c>
      <c r="B13" s="43" t="s">
        <v>39</v>
      </c>
      <c r="C13" s="44" t="str">
        <f>Soares2005!$B$45</f>
        <v>Ship</v>
      </c>
      <c r="D13" s="44" t="str">
        <f>Soares2005!$B$46</f>
        <v>JONSWAP</v>
      </c>
      <c r="E13" s="62">
        <f>Soares2005!$B$24</f>
        <v>1.38557878571685</v>
      </c>
      <c r="F13" s="62">
        <f>Soares2005!$B$32</f>
        <v>2.30929797619474</v>
      </c>
      <c r="G13" s="62">
        <f>Soares2005!$B$25</f>
        <v>0.106657142857143</v>
      </c>
      <c r="H13" s="62">
        <f>Soares2005!$B$33</f>
        <v>0.18665</v>
      </c>
      <c r="I13" s="62">
        <f>Soares2005!$B$6</f>
        <v>0</v>
      </c>
      <c r="J13" s="74">
        <f>Soares2005!$B$19</f>
        <v>0.0133321428571429</v>
      </c>
      <c r="K13" s="75">
        <f t="shared" si="5"/>
        <v>75.00669702652</v>
      </c>
      <c r="L13" s="76" t="s">
        <v>40</v>
      </c>
      <c r="M13" s="62">
        <f t="shared" si="2"/>
        <v>12</v>
      </c>
      <c r="N13" s="62">
        <f>F13*SQRT($K13)</f>
        <v>19.9999999999999</v>
      </c>
      <c r="O13" s="62">
        <f t="shared" si="3"/>
        <v>7.99999999999999</v>
      </c>
      <c r="P13" s="62">
        <f>H13*$K13</f>
        <v>14</v>
      </c>
      <c r="Q13" s="62">
        <f t="shared" si="4"/>
        <v>0</v>
      </c>
      <c r="R13" s="44"/>
    </row>
    <row r="14" s="31" customFormat="true" ht="24" spans="1:18">
      <c r="A14" s="31">
        <v>12</v>
      </c>
      <c r="B14" s="45" t="s">
        <v>41</v>
      </c>
      <c r="C14" s="46" t="str">
        <f>Greco2005!$B$45</f>
        <v>Box</v>
      </c>
      <c r="D14" s="46" t="str">
        <f>Greco2005!$B$46</f>
        <v>Regular</v>
      </c>
      <c r="E14" s="63">
        <f>Greco2005!$B$24</f>
        <v>0.980337354799647</v>
      </c>
      <c r="F14" s="63">
        <f>Greco2005!$B$32</f>
        <v>1.2723756355774</v>
      </c>
      <c r="G14" s="63">
        <f>Greco2005!$B$25</f>
        <v>0.08</v>
      </c>
      <c r="H14" s="63">
        <f>Greco2005!$B$33</f>
        <v>0.16</v>
      </c>
      <c r="I14" s="63">
        <f>Greco2005!$B$6</f>
        <v>0</v>
      </c>
      <c r="J14" s="77">
        <f>Greco2005!$B$19</f>
        <v>0</v>
      </c>
      <c r="K14" s="78" t="e">
        <f t="shared" si="5"/>
        <v>#DIV/0!</v>
      </c>
      <c r="L14" s="79" t="s">
        <v>42</v>
      </c>
      <c r="M14" s="63"/>
      <c r="N14" s="63"/>
      <c r="O14" s="63"/>
      <c r="P14" s="63"/>
      <c r="Q14" s="63"/>
      <c r="R14" s="46"/>
    </row>
    <row r="15" customFormat="true" ht="48" spans="1:18">
      <c r="A15">
        <v>13</v>
      </c>
      <c r="B15" s="43" t="s">
        <v>43</v>
      </c>
      <c r="C15" s="44" t="str">
        <f>Greco2007!$B$45</f>
        <v>Box</v>
      </c>
      <c r="D15" s="44" t="str">
        <f>Greco2007!$B$46</f>
        <v>Regular</v>
      </c>
      <c r="E15" s="62">
        <f>Greco2007!$B$24</f>
        <v>0.980337354799647</v>
      </c>
      <c r="F15" s="62">
        <f>Greco2007!$B$32</f>
        <v>1.2723756355774</v>
      </c>
      <c r="G15" s="62">
        <f>Greco2007!$B$25</f>
        <v>0.08</v>
      </c>
      <c r="H15" s="62">
        <f>Greco2007!$B$33</f>
        <v>0.16</v>
      </c>
      <c r="I15" s="62">
        <f>Greco2007!$B$6</f>
        <v>0</v>
      </c>
      <c r="J15" s="74">
        <f>Greco2007!$B$19</f>
        <v>0</v>
      </c>
      <c r="K15" s="75" t="e">
        <f t="shared" si="5"/>
        <v>#DIV/0!</v>
      </c>
      <c r="L15" s="76" t="s">
        <v>44</v>
      </c>
      <c r="M15" s="62"/>
      <c r="N15" s="62"/>
      <c r="O15" s="62"/>
      <c r="P15" s="62"/>
      <c r="Q15" s="62"/>
      <c r="R15" s="44"/>
    </row>
    <row r="16" s="31" customFormat="true" ht="60" spans="1:18">
      <c r="A16" s="31">
        <v>14</v>
      </c>
      <c r="B16" s="45" t="s">
        <v>41</v>
      </c>
      <c r="C16" s="46" t="str">
        <f>Greco2012!$B$45</f>
        <v>Ship</v>
      </c>
      <c r="D16" s="46" t="str">
        <f>Greco2012!$B$46</f>
        <v>Regular</v>
      </c>
      <c r="E16" s="63">
        <f>Greco2012!$B$24</f>
        <v>1.38616899484001</v>
      </c>
      <c r="F16" s="63">
        <f>Greco2012!$B$32</f>
        <v>1.96199085457113</v>
      </c>
      <c r="G16" s="63">
        <f>Greco2012!$B$25</f>
        <v>0.0477464829275686</v>
      </c>
      <c r="H16" s="63">
        <f>Greco2012!$B$33</f>
        <v>0.119366207318922</v>
      </c>
      <c r="I16" s="63">
        <f>Greco2012!$B$6</f>
        <v>0</v>
      </c>
      <c r="J16" s="77">
        <f>Greco2012!$B$19</f>
        <v>0.05</v>
      </c>
      <c r="K16" s="78">
        <f t="shared" si="5"/>
        <v>20</v>
      </c>
      <c r="L16" s="79" t="s">
        <v>45</v>
      </c>
      <c r="M16" s="63">
        <f t="shared" si="2"/>
        <v>6.19913620152964</v>
      </c>
      <c r="N16" s="63">
        <f>F16*SQRT($K16)</f>
        <v>8.7742898441079</v>
      </c>
      <c r="O16" s="63">
        <f t="shared" si="3"/>
        <v>0.954929658551372</v>
      </c>
      <c r="P16" s="63">
        <f>H16*$K16</f>
        <v>2.38732414637844</v>
      </c>
      <c r="Q16" s="63">
        <f t="shared" si="4"/>
        <v>0</v>
      </c>
      <c r="R16" s="46"/>
    </row>
    <row r="17" customFormat="true" ht="24" spans="1:18">
      <c r="A17">
        <v>15</v>
      </c>
      <c r="B17" s="43" t="s">
        <v>46</v>
      </c>
      <c r="C17" s="44" t="str">
        <f>'Lee2012'!$B$45</f>
        <v>Box</v>
      </c>
      <c r="D17" s="44" t="str">
        <f>'Lee2012'!$B$46</f>
        <v>Regular</v>
      </c>
      <c r="E17" s="62">
        <f>'Lee2012'!$B$24</f>
        <v>1.20045722824956</v>
      </c>
      <c r="F17" s="62">
        <f>'Lee2012'!$B$32</f>
        <v>1.54979610370537</v>
      </c>
      <c r="G17" s="62">
        <f>'Lee2012'!$B$25</f>
        <v>0.09</v>
      </c>
      <c r="H17" s="62">
        <f>'Lee2012'!$B$33</f>
        <v>0.225</v>
      </c>
      <c r="I17" s="62">
        <f>'Lee2012'!$B$6</f>
        <v>0</v>
      </c>
      <c r="J17" s="74">
        <f>'Lee2012'!$B$19</f>
        <v>0.01</v>
      </c>
      <c r="K17" s="75">
        <f t="shared" ref="K17:K21" si="6">1/J17</f>
        <v>100</v>
      </c>
      <c r="L17" s="76" t="s">
        <v>47</v>
      </c>
      <c r="M17" s="62">
        <f t="shared" si="2"/>
        <v>12.0045722824956</v>
      </c>
      <c r="N17" s="62">
        <f>F17*SQRT($K17)</f>
        <v>15.4979610370537</v>
      </c>
      <c r="O17" s="62">
        <f t="shared" si="3"/>
        <v>9</v>
      </c>
      <c r="P17" s="62">
        <f>H17*$K17</f>
        <v>22.5</v>
      </c>
      <c r="Q17" s="62">
        <f t="shared" si="4"/>
        <v>0</v>
      </c>
      <c r="R17" s="44"/>
    </row>
    <row r="18" s="31" customFormat="true" ht="72" spans="1:18">
      <c r="A18" s="31">
        <v>16</v>
      </c>
      <c r="B18" s="45" t="s">
        <v>48</v>
      </c>
      <c r="C18" s="46" t="str">
        <f>Ariyarathne2012!$B$45</f>
        <v>Box</v>
      </c>
      <c r="D18" s="46" t="str">
        <f>Ariyarathne2012!$B$46</f>
        <v>Breaking</v>
      </c>
      <c r="E18" s="63">
        <f>Ariyarathne2012!$B$24</f>
        <v>0.769230769230769</v>
      </c>
      <c r="F18" s="63">
        <f>Ariyarathne2012!$B$32</f>
        <v>1.42857142857143</v>
      </c>
      <c r="G18" s="63">
        <f>Ariyarathne2012!$B$25</f>
        <v>0.163905325443787</v>
      </c>
      <c r="H18" s="63">
        <f>Ariyarathne2012!$B$33</f>
        <v>0.17</v>
      </c>
      <c r="I18" s="63">
        <f>Ariyarathne2012!$B$6</f>
        <v>0</v>
      </c>
      <c r="J18" s="77">
        <f>Ariyarathne2012!$B$19</f>
        <v>0.00591715976331361</v>
      </c>
      <c r="K18" s="78">
        <f t="shared" si="6"/>
        <v>169</v>
      </c>
      <c r="L18" s="79" t="s">
        <v>49</v>
      </c>
      <c r="M18" s="63">
        <f t="shared" si="2"/>
        <v>10</v>
      </c>
      <c r="N18" s="63">
        <f>F18*SQRT($K18)</f>
        <v>18.5714285714286</v>
      </c>
      <c r="O18" s="63">
        <f t="shared" si="3"/>
        <v>27.7</v>
      </c>
      <c r="P18" s="63">
        <f>H18*$K18</f>
        <v>28.73</v>
      </c>
      <c r="Q18" s="63">
        <f t="shared" si="4"/>
        <v>0</v>
      </c>
      <c r="R18" s="46"/>
    </row>
    <row r="19" customFormat="true" ht="36" spans="1:18">
      <c r="A19">
        <v>17</v>
      </c>
      <c r="B19" s="43" t="s">
        <v>50</v>
      </c>
      <c r="C19" s="44" t="str">
        <f>Liut2013!$B$45</f>
        <v>Ship</v>
      </c>
      <c r="D19" s="44" t="str">
        <f>Liut2013!$B$46</f>
        <v>Breaking-dam</v>
      </c>
      <c r="E19" s="62">
        <f>Liut2013!$B$24</f>
        <v>0</v>
      </c>
      <c r="F19" s="62">
        <f>Liut2013!$B$32</f>
        <v>0</v>
      </c>
      <c r="G19" s="62">
        <f>Liut2013!$B$25</f>
        <v>0</v>
      </c>
      <c r="H19" s="62">
        <f>Liut2013!$B$33</f>
        <v>0</v>
      </c>
      <c r="I19" s="62">
        <f>Liut2013!$B$6</f>
        <v>0</v>
      </c>
      <c r="J19" s="74">
        <f>Liut2013!$B$19</f>
        <v>0</v>
      </c>
      <c r="K19" s="75" t="e">
        <f t="shared" si="6"/>
        <v>#DIV/0!</v>
      </c>
      <c r="L19" s="76" t="s">
        <v>51</v>
      </c>
      <c r="M19" s="62"/>
      <c r="N19" s="62"/>
      <c r="O19" s="62"/>
      <c r="P19" s="62"/>
      <c r="Q19" s="62"/>
      <c r="R19" s="44"/>
    </row>
    <row r="20" s="31" customFormat="true" ht="48" spans="1:18">
      <c r="A20" s="31">
        <v>18</v>
      </c>
      <c r="B20" s="45" t="s">
        <v>52</v>
      </c>
      <c r="C20" s="46" t="str">
        <f>Song2015!$B$45</f>
        <v>Box</v>
      </c>
      <c r="D20" s="46" t="str">
        <f>Song2015!$B$46</f>
        <v>Breaking</v>
      </c>
      <c r="E20" s="63">
        <f>Song2015!$B$24</f>
        <v>1.65</v>
      </c>
      <c r="F20" s="63">
        <f>Song2015!$B$32</f>
        <v>0</v>
      </c>
      <c r="G20" s="63">
        <f>Song2015!$B$25</f>
        <v>0.33</v>
      </c>
      <c r="H20" s="63">
        <f>Song2015!$B$33</f>
        <v>0</v>
      </c>
      <c r="I20" s="63">
        <f>Song2015!$B$6</f>
        <v>0</v>
      </c>
      <c r="J20" s="77">
        <f>Song2015!$B$19</f>
        <v>0</v>
      </c>
      <c r="K20" s="78" t="e">
        <f t="shared" si="6"/>
        <v>#DIV/0!</v>
      </c>
      <c r="L20" s="79" t="s">
        <v>53</v>
      </c>
      <c r="M20" s="63"/>
      <c r="N20" s="63"/>
      <c r="O20" s="63"/>
      <c r="P20" s="63"/>
      <c r="Q20" s="63"/>
      <c r="R20" s="46"/>
    </row>
    <row r="21" customFormat="true" ht="48" spans="1:18">
      <c r="A21">
        <v>19</v>
      </c>
      <c r="B21" s="43" t="s">
        <v>54</v>
      </c>
      <c r="C21" s="44" t="str">
        <f>Scharnke2017!$B$45</f>
        <v>Box</v>
      </c>
      <c r="D21" s="44" t="str">
        <f>Scharnke2017!$B$46</f>
        <v>Breaking</v>
      </c>
      <c r="E21" s="62">
        <f>Scharnke2017!$B$24</f>
        <v>0.5</v>
      </c>
      <c r="F21" s="62">
        <f>Scharnke2017!$B$32</f>
        <v>3</v>
      </c>
      <c r="G21" s="62">
        <f>Scharnke2017!$B$25</f>
        <v>0.186</v>
      </c>
      <c r="H21" s="62">
        <f>Scharnke2017!$B$33</f>
        <v>0.226</v>
      </c>
      <c r="I21" s="62">
        <f>Scharnke2017!$B$6</f>
        <v>0</v>
      </c>
      <c r="J21" s="74">
        <f>Scharnke2017!$B$19</f>
        <v>0.004</v>
      </c>
      <c r="K21" s="75">
        <f t="shared" si="6"/>
        <v>250</v>
      </c>
      <c r="L21" s="76" t="s">
        <v>55</v>
      </c>
      <c r="M21" s="62">
        <f t="shared" si="2"/>
        <v>7.90569415042095</v>
      </c>
      <c r="N21" s="62">
        <f>F21*SQRT($K21)</f>
        <v>47.4341649025257</v>
      </c>
      <c r="O21" s="62">
        <f t="shared" si="3"/>
        <v>46.5</v>
      </c>
      <c r="P21" s="62">
        <f>H21*$K21</f>
        <v>56.5</v>
      </c>
      <c r="Q21" s="62">
        <f t="shared" si="4"/>
        <v>0</v>
      </c>
      <c r="R21" s="44"/>
    </row>
    <row r="22" s="31" customFormat="true" ht="48" spans="1:18">
      <c r="A22" s="31">
        <v>20</v>
      </c>
      <c r="B22" s="45" t="s">
        <v>56</v>
      </c>
      <c r="C22" s="46" t="str">
        <f>Chuang2018!$B$45</f>
        <v>Box</v>
      </c>
      <c r="D22" s="46" t="str">
        <f>Chuang2018!$B$46</f>
        <v>Random</v>
      </c>
      <c r="E22" s="63">
        <f>Chuang2018!$B$24</f>
        <v>1.76</v>
      </c>
      <c r="F22" s="63">
        <f>Chuang2018!$B$32</f>
        <v>2.73</v>
      </c>
      <c r="G22" s="63">
        <f>Chuang2018!$B$25</f>
        <v>0.43</v>
      </c>
      <c r="H22" s="63">
        <f>Chuang2018!$B$33</f>
        <v>0.55</v>
      </c>
      <c r="I22" s="63">
        <f>Chuang2018!$B$6</f>
        <v>0</v>
      </c>
      <c r="J22" s="77">
        <f>Chuang2018!$B$19</f>
        <v>0</v>
      </c>
      <c r="K22" s="78" t="e">
        <f>1/J22</f>
        <v>#DIV/0!</v>
      </c>
      <c r="L22" s="79" t="s">
        <v>57</v>
      </c>
      <c r="M22" s="63"/>
      <c r="N22" s="63"/>
      <c r="O22" s="63"/>
      <c r="P22" s="63"/>
      <c r="Q22" s="63"/>
      <c r="R22" s="46"/>
    </row>
    <row r="23" customFormat="true" ht="60" spans="1:18">
      <c r="A23">
        <v>21</v>
      </c>
      <c r="B23" s="43" t="s">
        <v>58</v>
      </c>
      <c r="C23" s="44" t="str">
        <f>'Lee2020'!$B$45</f>
        <v>Box</v>
      </c>
      <c r="D23" s="44" t="str">
        <f>'Lee2020'!$B$46</f>
        <v>Regular</v>
      </c>
      <c r="E23" s="62">
        <f>'Lee2020'!$B$24</f>
        <v>1.34975724033736</v>
      </c>
      <c r="F23" s="62">
        <f>'Lee2020'!$B$32</f>
        <v>0</v>
      </c>
      <c r="G23" s="62">
        <f>'Lee2020'!$B$25</f>
        <v>0.104671568627451</v>
      </c>
      <c r="H23" s="62">
        <f>'Lee2020'!$B$33</f>
        <v>0</v>
      </c>
      <c r="I23" s="62">
        <f>'Lee2020'!$B$6</f>
        <v>0</v>
      </c>
      <c r="J23" s="74">
        <f>'Lee2020'!$B$19</f>
        <v>0.00799019607843137</v>
      </c>
      <c r="K23" s="75">
        <f>1/J23</f>
        <v>125.153374233129</v>
      </c>
      <c r="L23" s="76" t="s">
        <v>59</v>
      </c>
      <c r="M23" s="62">
        <f t="shared" si="2"/>
        <v>15.1</v>
      </c>
      <c r="N23" s="62">
        <f>F23*SQRT($K23)</f>
        <v>0</v>
      </c>
      <c r="O23" s="62">
        <f t="shared" si="3"/>
        <v>13.1</v>
      </c>
      <c r="P23" s="62">
        <f>H23*$K23</f>
        <v>0</v>
      </c>
      <c r="Q23" s="62">
        <f t="shared" si="4"/>
        <v>0</v>
      </c>
      <c r="R23" s="44"/>
    </row>
    <row r="24" s="31" customFormat="true" ht="36" spans="1:18">
      <c r="A24" s="31">
        <v>22</v>
      </c>
      <c r="B24" s="45" t="s">
        <v>60</v>
      </c>
      <c r="C24" s="46" t="str">
        <f>'Hernandez-Fontes2020'!$B$45</f>
        <v>Box</v>
      </c>
      <c r="D24" s="46" t="str">
        <f>'Hernandez-Fontes2020'!$B$46</f>
        <v>Regular</v>
      </c>
      <c r="E24" s="63">
        <f>'Hernandez-Fontes2020'!$B$24</f>
        <v>0.98</v>
      </c>
      <c r="F24" s="63">
        <f>'Hernandez-Fontes2020'!$B$32</f>
        <v>1.27</v>
      </c>
      <c r="G24" s="63">
        <f>'Hernandez-Fontes2020'!$B$25</f>
        <v>0.084</v>
      </c>
      <c r="H24" s="63">
        <f>'Hernandez-Fontes2020'!$B$33</f>
        <v>0.112</v>
      </c>
      <c r="I24" s="63">
        <f>'Hernandez-Fontes2020'!$B$6</f>
        <v>0</v>
      </c>
      <c r="J24" s="77">
        <f>'Hernandez-Fontes2020'!$B$19</f>
        <v>0</v>
      </c>
      <c r="K24" s="78" t="e">
        <f>1/J24</f>
        <v>#DIV/0!</v>
      </c>
      <c r="L24" s="79" t="s">
        <v>61</v>
      </c>
      <c r="M24" s="63"/>
      <c r="N24" s="63"/>
      <c r="O24" s="63"/>
      <c r="P24" s="63"/>
      <c r="Q24" s="63"/>
      <c r="R24" s="46"/>
    </row>
    <row r="25" customFormat="true" ht="60" spans="1:18">
      <c r="A25">
        <v>23</v>
      </c>
      <c r="B25" s="43" t="s">
        <v>62</v>
      </c>
      <c r="C25" s="44" t="str">
        <f>'Hernandez-Fontes2020a'!$B$45</f>
        <v>Box</v>
      </c>
      <c r="D25" s="44" t="str">
        <f>'Hernandez-Fontes2020a'!$B$46</f>
        <v>Regular</v>
      </c>
      <c r="E25" s="62">
        <f>'Hernandez-Fontes2020a'!$B$24</f>
        <v>0.98</v>
      </c>
      <c r="F25" s="62">
        <f>'Hernandez-Fontes2020a'!$B$32</f>
        <v>1.27</v>
      </c>
      <c r="G25" s="62">
        <f>'Hernandez-Fontes2020a'!$B$25</f>
        <v>0.084</v>
      </c>
      <c r="H25" s="62">
        <f>'Hernandez-Fontes2020a'!$B$33</f>
        <v>0.084</v>
      </c>
      <c r="I25" s="62">
        <f>'Hernandez-Fontes2020a'!$B$6</f>
        <v>0</v>
      </c>
      <c r="J25" s="74">
        <f>'Hernandez-Fontes2020a'!$B$19</f>
        <v>0</v>
      </c>
      <c r="K25" s="75" t="e">
        <f>1/J25</f>
        <v>#DIV/0!</v>
      </c>
      <c r="L25" s="76" t="s">
        <v>63</v>
      </c>
      <c r="M25" s="62"/>
      <c r="N25" s="62"/>
      <c r="O25" s="62"/>
      <c r="P25" s="62"/>
      <c r="Q25" s="62"/>
      <c r="R25" s="44"/>
    </row>
    <row r="26" s="31" customFormat="true" spans="2:18">
      <c r="B26" s="45"/>
      <c r="C26" s="46"/>
      <c r="D26" s="46"/>
      <c r="E26" s="63"/>
      <c r="F26" s="63"/>
      <c r="G26" s="63"/>
      <c r="H26" s="63"/>
      <c r="I26" s="63"/>
      <c r="J26" s="77"/>
      <c r="K26" s="78"/>
      <c r="L26" s="79"/>
      <c r="M26" s="63"/>
      <c r="N26" s="63"/>
      <c r="O26" s="63"/>
      <c r="P26" s="63"/>
      <c r="Q26" s="63"/>
      <c r="R26" s="46"/>
    </row>
    <row r="27" customFormat="true" spans="2:18">
      <c r="B27" s="43"/>
      <c r="C27" s="44"/>
      <c r="D27" s="44"/>
      <c r="E27" s="62"/>
      <c r="F27" s="62"/>
      <c r="G27" s="62"/>
      <c r="H27" s="62"/>
      <c r="I27" s="62"/>
      <c r="J27" s="74"/>
      <c r="K27" s="75"/>
      <c r="L27" s="76"/>
      <c r="M27" s="62"/>
      <c r="N27" s="62"/>
      <c r="O27" s="62"/>
      <c r="P27" s="62"/>
      <c r="Q27" s="62"/>
      <c r="R27" s="44"/>
    </row>
    <row r="28" s="31" customFormat="true" spans="2:18">
      <c r="B28" s="45"/>
      <c r="C28" s="46"/>
      <c r="D28" s="46"/>
      <c r="E28" s="63"/>
      <c r="F28" s="63"/>
      <c r="G28" s="63"/>
      <c r="H28" s="63"/>
      <c r="I28" s="63"/>
      <c r="J28" s="77"/>
      <c r="K28" s="78"/>
      <c r="L28" s="79"/>
      <c r="M28" s="46"/>
      <c r="N28" s="46"/>
      <c r="O28" s="46"/>
      <c r="P28" s="46"/>
      <c r="Q28" s="46"/>
      <c r="R28" s="46"/>
    </row>
    <row r="29" s="32" customFormat="true" spans="2:12">
      <c r="B29" s="47"/>
      <c r="L29" s="80"/>
    </row>
    <row r="30" s="33" customFormat="true" ht="31.5" spans="2:18">
      <c r="B30" s="48" t="s">
        <v>64</v>
      </c>
      <c r="C30" s="49" t="s">
        <v>65</v>
      </c>
      <c r="D30" s="50"/>
      <c r="E30" s="50"/>
      <c r="F30" s="49" t="s">
        <v>66</v>
      </c>
      <c r="G30" s="50"/>
      <c r="H30" s="50"/>
      <c r="I30" s="49" t="s">
        <v>67</v>
      </c>
      <c r="J30" s="49" t="s">
        <v>68</v>
      </c>
      <c r="K30" s="49" t="s">
        <v>69</v>
      </c>
      <c r="L30" s="81"/>
      <c r="M30" s="49" t="s">
        <v>70</v>
      </c>
      <c r="N30" s="49" t="s">
        <v>71</v>
      </c>
      <c r="O30" s="49" t="s">
        <v>72</v>
      </c>
      <c r="P30" s="49" t="s">
        <v>73</v>
      </c>
      <c r="Q30" s="49" t="s">
        <v>67</v>
      </c>
      <c r="R30" s="50"/>
    </row>
    <row r="31" s="34" customFormat="true" spans="2:17">
      <c r="B31" s="51"/>
      <c r="C31" s="52">
        <f>COUNTIF(C3:C27,"*Box*")</f>
        <v>13</v>
      </c>
      <c r="D31" s="53" t="s">
        <v>74</v>
      </c>
      <c r="E31" s="64">
        <f>C31/SUM(C31:C32)</f>
        <v>0.565217391304348</v>
      </c>
      <c r="F31" s="65">
        <f>COUNTIF(D3:D27,"JONSWAP")+COUNTIF(D3:D27,"*Irregular*")+COUNTIF(D3:D27,"Random")</f>
        <v>10</v>
      </c>
      <c r="G31" s="66" t="s">
        <v>75</v>
      </c>
      <c r="H31" s="64">
        <f>F31/SUM(F31:F33)</f>
        <v>0.4</v>
      </c>
      <c r="I31" s="82">
        <f>MAX(I3:I25)</f>
        <v>0.626418390534633</v>
      </c>
      <c r="J31" s="83">
        <f>AVERAGE(K3:K6,K8,K10,K13,K16:K18,K21,K23)</f>
        <v>80.1922010602553</v>
      </c>
      <c r="K31" s="83">
        <f>MAX(K3:K6,K8,K10,K13,K16:K18,K21,K23)</f>
        <v>250</v>
      </c>
      <c r="L31" s="84" t="s">
        <v>76</v>
      </c>
      <c r="M31" s="82">
        <f>MIN(M3:M25)</f>
        <v>5.26028897314167</v>
      </c>
      <c r="N31" s="82">
        <f t="shared" ref="N31:Q31" si="7">MAX(N3:N25)</f>
        <v>47.4341649025257</v>
      </c>
      <c r="O31" s="82">
        <f>MIN(O3:O25)</f>
        <v>0.954929658551372</v>
      </c>
      <c r="P31" s="82">
        <f t="shared" si="7"/>
        <v>56.5</v>
      </c>
      <c r="Q31" s="82">
        <f t="shared" si="7"/>
        <v>4.14336819507994</v>
      </c>
    </row>
    <row r="32" spans="2:17">
      <c r="B32" s="43"/>
      <c r="C32" s="52">
        <f>COUNTIF(C3:C27,"*Ship*")</f>
        <v>10</v>
      </c>
      <c r="D32" s="53" t="s">
        <v>77</v>
      </c>
      <c r="E32" s="64">
        <f>C32/SUM(C31:C32)</f>
        <v>0.434782608695652</v>
      </c>
      <c r="F32" s="52">
        <f>COUNTIF(D3:D27,"Regular")+COUNTIF(D3:D27,"*Regular&amp;*")</f>
        <v>10</v>
      </c>
      <c r="G32" s="53" t="s">
        <v>78</v>
      </c>
      <c r="H32" s="64">
        <f>F32/SUM(F31:F33)</f>
        <v>0.4</v>
      </c>
      <c r="I32" s="54"/>
      <c r="J32" s="54" t="s">
        <v>79</v>
      </c>
      <c r="K32" s="54"/>
      <c r="L32" s="84" t="s">
        <v>80</v>
      </c>
      <c r="M32" s="82">
        <f>MIN(M3:M6,M8,M10,M13,M16:M17,M23)</f>
        <v>5.26028897314167</v>
      </c>
      <c r="N32" s="82">
        <f>MAX(N3:N6,N8,N10,N13,N16:N17,N23)</f>
        <v>19.9999999999999</v>
      </c>
      <c r="O32" s="82">
        <f>MIN(O3:O6,O8,O10,O13,O16:O17,O23)</f>
        <v>0.954929658551372</v>
      </c>
      <c r="P32" s="82">
        <f>MAX(P3:P6,P8,P10,P13,P16:P17,P23)</f>
        <v>22.5</v>
      </c>
      <c r="Q32" s="82">
        <f>MAX(Q3:Q6,Q8,Q10,Q13,Q16:Q17,Q23)</f>
        <v>4.14336819507994</v>
      </c>
    </row>
    <row r="33" spans="2:17">
      <c r="B33" s="43"/>
      <c r="C33" s="54"/>
      <c r="D33" s="54"/>
      <c r="E33" s="67"/>
      <c r="F33" s="52">
        <f>COUNTIF(D3:D28,"*Breaking*")</f>
        <v>5</v>
      </c>
      <c r="G33" s="53" t="s">
        <v>81</v>
      </c>
      <c r="H33" s="64">
        <f>F33/SUM(F31:F33)</f>
        <v>0.2</v>
      </c>
      <c r="I33" s="55"/>
      <c r="J33" s="83">
        <f>AVERAGE(K3:K6,K8,K10,K13,K16)</f>
        <v>39.7691298112418</v>
      </c>
      <c r="K33" s="83">
        <f>MAX(K3:K6,K8,K10,K13,K16)</f>
        <v>75.00669702652</v>
      </c>
      <c r="L33" s="84" t="s">
        <v>82</v>
      </c>
      <c r="M33" s="82">
        <f>MIN(M16,M17,M16,M17,M23)</f>
        <v>6.19913620152964</v>
      </c>
      <c r="N33" s="82">
        <f>MAX(N16,N16,N16,N17,N23)</f>
        <v>15.4979610370537</v>
      </c>
      <c r="O33" s="82">
        <f>MIN(O16,O16,O16,O17,O23)</f>
        <v>0.954929658551372</v>
      </c>
      <c r="P33" s="82">
        <f>MAX(P16,P16,P16,P17,P23)</f>
        <v>22.5</v>
      </c>
      <c r="Q33" s="82">
        <f>MAX(Q16,Q16,Q16,Q17,Q23)</f>
        <v>0</v>
      </c>
    </row>
    <row r="34" spans="2:17">
      <c r="B34" s="43"/>
      <c r="C34" s="54"/>
      <c r="D34" s="54"/>
      <c r="E34" s="54"/>
      <c r="F34" s="68">
        <f>COUNTIF(D3:D27,"JONSWAP")</f>
        <v>5</v>
      </c>
      <c r="G34" s="69" t="s">
        <v>83</v>
      </c>
      <c r="H34" s="70">
        <f>F34/SUM(F31:F33)</f>
        <v>0.2</v>
      </c>
      <c r="I34" s="55"/>
      <c r="J34" s="55"/>
      <c r="K34" s="55"/>
      <c r="L34" s="85"/>
      <c r="M34" s="34"/>
      <c r="N34" s="34"/>
      <c r="O34" s="34"/>
      <c r="P34" s="34"/>
      <c r="Q34" s="34"/>
    </row>
    <row r="35" spans="2:17">
      <c r="B35" s="43"/>
      <c r="C35" s="55"/>
      <c r="D35" s="55"/>
      <c r="E35" s="55"/>
      <c r="I35" s="55"/>
      <c r="J35" s="55"/>
      <c r="K35" s="55"/>
      <c r="L35" s="85"/>
      <c r="M35" s="34"/>
      <c r="N35" s="34"/>
      <c r="O35" s="34"/>
      <c r="P35" s="34"/>
      <c r="Q35" s="34"/>
    </row>
    <row r="36" spans="2:12">
      <c r="B36" s="43"/>
      <c r="C36" s="56"/>
      <c r="D36" s="56"/>
      <c r="E36" s="56"/>
      <c r="F36" s="56"/>
      <c r="G36" s="56"/>
      <c r="H36" s="56"/>
      <c r="I36" s="56"/>
      <c r="J36" s="56"/>
      <c r="K36" s="56"/>
      <c r="L36" s="86"/>
    </row>
    <row r="37" spans="2:2">
      <c r="B37" s="43"/>
    </row>
    <row r="38" spans="2:2">
      <c r="B38" s="43"/>
    </row>
    <row r="39" spans="2:2">
      <c r="B39" s="57"/>
    </row>
    <row r="40" spans="2:2">
      <c r="B40" s="57"/>
    </row>
    <row r="41" spans="2:2">
      <c r="B41" s="57"/>
    </row>
  </sheetData>
  <mergeCells count="8">
    <mergeCell ref="E1:F1"/>
    <mergeCell ref="G1:H1"/>
    <mergeCell ref="J1:K1"/>
    <mergeCell ref="M1:N1"/>
    <mergeCell ref="O1:P1"/>
    <mergeCell ref="C30:E30"/>
    <mergeCell ref="F30:H30"/>
    <mergeCell ref="J32:K32"/>
  </mergeCells>
  <pageMargins left="0.75" right="0.75" top="1" bottom="1" header="0.5" footer="0.5"/>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80" zoomScaleNormal="80" topLeftCell="A5" workbookViewId="0">
      <selection activeCell="B18" sqref="B18"/>
    </sheetView>
  </sheetViews>
  <sheetFormatPr defaultColWidth="8.8" defaultRowHeight="15.75" outlineLevelCol="3"/>
  <cols>
    <col min="1" max="1" width="17.1" customWidth="true"/>
  </cols>
  <sheetData>
    <row r="1" customFormat="true" spans="1:3">
      <c r="A1" t="s">
        <v>144</v>
      </c>
      <c r="C1" t="s">
        <v>145</v>
      </c>
    </row>
    <row r="2" spans="1:3">
      <c r="A2" s="1" t="s">
        <v>86</v>
      </c>
      <c r="B2" s="2"/>
      <c r="C2" s="2"/>
    </row>
    <row r="3" spans="1:3">
      <c r="A3" s="3" t="s">
        <v>88</v>
      </c>
      <c r="B3" s="4">
        <v>36</v>
      </c>
      <c r="C3" s="5" t="s">
        <v>89</v>
      </c>
    </row>
    <row r="4" spans="1:3">
      <c r="A4" s="3" t="s">
        <v>90</v>
      </c>
      <c r="B4" s="4">
        <v>0.95</v>
      </c>
      <c r="C4" s="5" t="s">
        <v>89</v>
      </c>
    </row>
    <row r="5" spans="1:3">
      <c r="A5" s="3" t="s">
        <v>91</v>
      </c>
      <c r="B5" s="4">
        <v>0.8</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t="e">
        <f t="shared" ref="B10:B13" si="0">B20/$B$19</f>
        <v>#DIV/0!</v>
      </c>
      <c r="C10" s="10" t="s">
        <v>89</v>
      </c>
    </row>
    <row r="11" spans="1:3">
      <c r="A11" s="8" t="s">
        <v>96</v>
      </c>
      <c r="B11" s="9" t="e">
        <f t="shared" si="0"/>
        <v>#DIV/0!</v>
      </c>
      <c r="C11" s="10" t="s">
        <v>89</v>
      </c>
    </row>
    <row r="12" spans="1:3">
      <c r="A12" s="8" t="s">
        <v>91</v>
      </c>
      <c r="B12" s="9" t="e">
        <f t="shared" si="0"/>
        <v>#DIV/0!</v>
      </c>
      <c r="C12" s="10" t="s">
        <v>89</v>
      </c>
    </row>
    <row r="13" spans="1:3">
      <c r="A13" s="8" t="s">
        <v>97</v>
      </c>
      <c r="B13" s="9" t="e">
        <f t="shared" si="0"/>
        <v>#DIV/0!</v>
      </c>
      <c r="C13" s="10" t="s">
        <v>89</v>
      </c>
    </row>
    <row r="14" spans="1:3">
      <c r="A14" s="8" t="s">
        <v>98</v>
      </c>
      <c r="B14" s="9" t="e">
        <f>B10/B11</f>
        <v>#DIV/0!</v>
      </c>
      <c r="C14" s="10" t="s">
        <v>99</v>
      </c>
    </row>
    <row r="15" spans="1:3">
      <c r="A15" s="8" t="s">
        <v>100</v>
      </c>
      <c r="B15" s="9" t="e">
        <f>B11/B13</f>
        <v>#DIV/0!</v>
      </c>
      <c r="C15" s="10" t="s">
        <v>99</v>
      </c>
    </row>
    <row r="16" spans="1:3">
      <c r="A16" s="8" t="s">
        <v>101</v>
      </c>
      <c r="B16" s="11">
        <v>0</v>
      </c>
      <c r="C16" s="10" t="s">
        <v>93</v>
      </c>
    </row>
    <row r="18" spans="1:3">
      <c r="A18" s="12" t="s">
        <v>102</v>
      </c>
      <c r="B18" s="2"/>
      <c r="C18" s="2"/>
    </row>
    <row r="19" spans="1:4">
      <c r="A19" s="13" t="s">
        <v>103</v>
      </c>
      <c r="B19" s="14"/>
      <c r="C19" s="15" t="s">
        <v>99</v>
      </c>
      <c r="D19" t="e">
        <f>1/B19</f>
        <v>#DIV/0!</v>
      </c>
    </row>
    <row r="20" spans="1:3">
      <c r="A20" s="13" t="s">
        <v>88</v>
      </c>
      <c r="B20" s="16">
        <v>0.61</v>
      </c>
      <c r="C20" s="15" t="s">
        <v>89</v>
      </c>
    </row>
    <row r="21" spans="1:3">
      <c r="A21" s="13" t="s">
        <v>96</v>
      </c>
      <c r="B21" s="16">
        <v>0.9</v>
      </c>
      <c r="C21" s="15" t="s">
        <v>89</v>
      </c>
    </row>
    <row r="22" spans="1:3">
      <c r="A22" s="13" t="s">
        <v>91</v>
      </c>
      <c r="B22" s="16">
        <v>0.01</v>
      </c>
      <c r="C22" s="15" t="s">
        <v>89</v>
      </c>
    </row>
    <row r="23" spans="1:3">
      <c r="A23" s="13" t="s">
        <v>97</v>
      </c>
      <c r="B23" s="16">
        <v>0</v>
      </c>
      <c r="C23" s="15" t="s">
        <v>89</v>
      </c>
    </row>
    <row r="24" spans="1:3">
      <c r="A24" s="13" t="s">
        <v>3</v>
      </c>
      <c r="B24" s="16">
        <v>1.18</v>
      </c>
      <c r="C24" s="15" t="s">
        <v>104</v>
      </c>
    </row>
    <row r="25" spans="1:3">
      <c r="A25" s="13" t="s">
        <v>4</v>
      </c>
      <c r="B25" s="16">
        <v>0.0924</v>
      </c>
      <c r="C25" s="15" t="s">
        <v>89</v>
      </c>
    </row>
    <row r="26" spans="1:3">
      <c r="A26" s="13" t="s">
        <v>105</v>
      </c>
      <c r="B26" s="16">
        <f>2*PI()/B24</f>
        <v>5.32473331116914</v>
      </c>
      <c r="C26" s="15" t="s">
        <v>106</v>
      </c>
    </row>
    <row r="27" spans="1:3">
      <c r="A27" s="13" t="s">
        <v>107</v>
      </c>
      <c r="B27" s="16">
        <f>(B26^2)/(9.81*TANH((B26^2)*B5/9.81))</f>
        <v>2.94746213335001</v>
      </c>
      <c r="C27" s="15" t="s">
        <v>108</v>
      </c>
    </row>
    <row r="28" spans="1:3">
      <c r="A28" s="13" t="s">
        <v>109</v>
      </c>
      <c r="B28" s="16">
        <f>2*PI()/B27</f>
        <v>2.13172723614884</v>
      </c>
      <c r="C28" s="15" t="s">
        <v>89</v>
      </c>
    </row>
    <row r="29" spans="1:3">
      <c r="A29" s="13" t="s">
        <v>110</v>
      </c>
      <c r="B29" s="16">
        <f>B25/B28</f>
        <v>0.0433451327323326</v>
      </c>
      <c r="C29" s="15" t="s">
        <v>99</v>
      </c>
    </row>
    <row r="30" spans="1:3">
      <c r="A30" s="13" t="s">
        <v>111</v>
      </c>
      <c r="B30" s="16">
        <f>B5/B28</f>
        <v>0.37528253447907</v>
      </c>
      <c r="C30" s="15" t="s">
        <v>112</v>
      </c>
    </row>
    <row r="31" spans="1:1">
      <c r="A31" s="12" t="s">
        <v>102</v>
      </c>
    </row>
    <row r="32" spans="1:3">
      <c r="A32" s="13" t="s">
        <v>3</v>
      </c>
      <c r="B32" s="16">
        <v>1.2</v>
      </c>
      <c r="C32" s="15" t="s">
        <v>104</v>
      </c>
    </row>
    <row r="33" spans="1:3">
      <c r="A33" s="13" t="s">
        <v>4</v>
      </c>
      <c r="B33" s="16">
        <v>0.1004</v>
      </c>
      <c r="C33" s="15" t="s">
        <v>89</v>
      </c>
    </row>
    <row r="34" spans="1:3">
      <c r="A34" s="13" t="s">
        <v>105</v>
      </c>
      <c r="B34" s="16">
        <f>2*PI()/B32</f>
        <v>5.23598775598299</v>
      </c>
      <c r="C34" s="15" t="s">
        <v>106</v>
      </c>
    </row>
    <row r="35" spans="1:3">
      <c r="A35" s="13" t="s">
        <v>107</v>
      </c>
      <c r="B35" s="16">
        <f>(B34^2)/(9.81*TANH((B34^2)*B5/9.81))</f>
        <v>2.85928398155435</v>
      </c>
      <c r="C35" s="15" t="s">
        <v>108</v>
      </c>
    </row>
    <row r="36" spans="1:3">
      <c r="A36" s="13" t="s">
        <v>109</v>
      </c>
      <c r="B36" s="16">
        <f>2*PI()/B35</f>
        <v>2.19746808911368</v>
      </c>
      <c r="C36" s="15" t="s">
        <v>89</v>
      </c>
    </row>
    <row r="37" spans="1:3">
      <c r="A37" s="13" t="s">
        <v>110</v>
      </c>
      <c r="B37" s="16">
        <f>B33/B36</f>
        <v>0.0456889456085321</v>
      </c>
      <c r="C37" s="15" t="s">
        <v>99</v>
      </c>
    </row>
    <row r="38" spans="1:3">
      <c r="A38" s="13" t="s">
        <v>111</v>
      </c>
      <c r="B38" s="16">
        <f>B5/B36</f>
        <v>0.36405534349428</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74</v>
      </c>
      <c r="C45" s="20"/>
    </row>
    <row r="46" spans="1:3">
      <c r="A46" s="18" t="s">
        <v>2</v>
      </c>
      <c r="B46" s="19" t="s">
        <v>83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7" workbookViewId="0">
      <selection activeCell="B47" sqref="B47"/>
    </sheetView>
  </sheetViews>
  <sheetFormatPr defaultColWidth="8.8" defaultRowHeight="15.75" outlineLevelCol="3"/>
  <cols>
    <col min="1" max="1" width="17.1" customWidth="true"/>
  </cols>
  <sheetData>
    <row r="1" customFormat="true" spans="1:4">
      <c r="A1" t="s">
        <v>146</v>
      </c>
      <c r="D1" t="s">
        <v>147</v>
      </c>
    </row>
    <row r="2" spans="1:3">
      <c r="A2" s="1" t="s">
        <v>86</v>
      </c>
      <c r="B2" s="2"/>
      <c r="C2" s="2"/>
    </row>
    <row r="3" spans="1:3">
      <c r="A3" s="3" t="s">
        <v>88</v>
      </c>
      <c r="B3" s="4">
        <v>220</v>
      </c>
      <c r="C3" s="5" t="s">
        <v>89</v>
      </c>
    </row>
    <row r="4" spans="1:3">
      <c r="A4" s="3" t="s">
        <v>90</v>
      </c>
      <c r="B4" s="4">
        <v>9</v>
      </c>
      <c r="C4" s="5" t="s">
        <v>89</v>
      </c>
    </row>
    <row r="5" spans="1:3">
      <c r="A5" s="3" t="s">
        <v>91</v>
      </c>
      <c r="B5" s="4">
        <v>3.6</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t="e">
        <f t="shared" ref="B10:B13" si="0">B20/$B$19</f>
        <v>#DIV/0!</v>
      </c>
      <c r="C10" s="10" t="s">
        <v>89</v>
      </c>
    </row>
    <row r="11" spans="1:3">
      <c r="A11" s="8" t="s">
        <v>96</v>
      </c>
      <c r="B11" s="9" t="e">
        <f t="shared" si="0"/>
        <v>#DIV/0!</v>
      </c>
      <c r="C11" s="10" t="s">
        <v>89</v>
      </c>
    </row>
    <row r="12" spans="1:3">
      <c r="A12" s="8" t="s">
        <v>91</v>
      </c>
      <c r="B12" s="9" t="e">
        <f t="shared" si="0"/>
        <v>#DIV/0!</v>
      </c>
      <c r="C12" s="10" t="s">
        <v>89</v>
      </c>
    </row>
    <row r="13" spans="1:3">
      <c r="A13" s="8" t="s">
        <v>97</v>
      </c>
      <c r="B13" s="9" t="e">
        <f t="shared" si="0"/>
        <v>#DIV/0!</v>
      </c>
      <c r="C13" s="10" t="s">
        <v>89</v>
      </c>
    </row>
    <row r="14" spans="1:3">
      <c r="A14" s="8" t="s">
        <v>98</v>
      </c>
      <c r="B14" s="9" t="e">
        <f>B10/B11</f>
        <v>#DIV/0!</v>
      </c>
      <c r="C14" s="10" t="s">
        <v>99</v>
      </c>
    </row>
    <row r="15" spans="1:3">
      <c r="A15" s="8" t="s">
        <v>100</v>
      </c>
      <c r="B15" s="9" t="e">
        <f>B11/B13</f>
        <v>#DIV/0!</v>
      </c>
      <c r="C15" s="10" t="s">
        <v>99</v>
      </c>
    </row>
    <row r="16" spans="1:3">
      <c r="A16" s="8" t="s">
        <v>101</v>
      </c>
      <c r="B16" s="11">
        <v>0</v>
      </c>
      <c r="C16" s="10" t="s">
        <v>93</v>
      </c>
    </row>
    <row r="17" customFormat="true"/>
    <row r="18" spans="1:3">
      <c r="A18" s="12" t="s">
        <v>102</v>
      </c>
      <c r="B18" s="2"/>
      <c r="C18" s="2"/>
    </row>
    <row r="19" spans="1:4">
      <c r="A19" s="13" t="s">
        <v>103</v>
      </c>
      <c r="B19" s="14"/>
      <c r="C19" s="15" t="s">
        <v>99</v>
      </c>
      <c r="D19" t="e">
        <f>1/B19</f>
        <v>#DIV/0!</v>
      </c>
    </row>
    <row r="20" spans="1:3">
      <c r="A20" s="13" t="s">
        <v>88</v>
      </c>
      <c r="B20" s="16">
        <v>4.44</v>
      </c>
      <c r="C20" s="15" t="s">
        <v>89</v>
      </c>
    </row>
    <row r="21" spans="1:3">
      <c r="A21" s="13" t="s">
        <v>96</v>
      </c>
      <c r="B21" s="16">
        <v>0.74</v>
      </c>
      <c r="C21" s="15" t="s">
        <v>89</v>
      </c>
    </row>
    <row r="22" spans="1:3">
      <c r="A22" s="13" t="s">
        <v>91</v>
      </c>
      <c r="B22" s="16">
        <f>B23+0.064</f>
        <v>0.348</v>
      </c>
      <c r="C22" s="15" t="s">
        <v>89</v>
      </c>
    </row>
    <row r="23" spans="1:3">
      <c r="A23" s="13" t="s">
        <v>97</v>
      </c>
      <c r="B23" s="16">
        <v>0.284</v>
      </c>
      <c r="C23" s="15" t="s">
        <v>89</v>
      </c>
    </row>
    <row r="24" spans="1:3">
      <c r="A24" s="13" t="s">
        <v>3</v>
      </c>
      <c r="B24" s="16">
        <f>2*PI()/B26</f>
        <v>1.66537476088748</v>
      </c>
      <c r="C24" s="15" t="s">
        <v>104</v>
      </c>
    </row>
    <row r="25" spans="1:3">
      <c r="A25" s="13" t="s">
        <v>4</v>
      </c>
      <c r="B25" s="16">
        <f>B29*B28</f>
        <v>0.0861426129484884</v>
      </c>
      <c r="C25" s="15" t="s">
        <v>89</v>
      </c>
    </row>
    <row r="26" spans="1:3">
      <c r="A26" s="13" t="s">
        <v>105</v>
      </c>
      <c r="B26" s="16">
        <f>SQRT(B27*9.81*TANH(B27*B5))</f>
        <v>3.77283567323386</v>
      </c>
      <c r="C26" s="15" t="s">
        <v>106</v>
      </c>
    </row>
    <row r="27" spans="1:3">
      <c r="A27" s="13" t="s">
        <v>107</v>
      </c>
      <c r="B27" s="16">
        <f>2*PI()/B28</f>
        <v>1.45108205708535</v>
      </c>
      <c r="C27" s="15" t="s">
        <v>108</v>
      </c>
    </row>
    <row r="28" spans="1:3">
      <c r="A28" s="13" t="s">
        <v>109</v>
      </c>
      <c r="B28" s="16">
        <v>4.33</v>
      </c>
      <c r="C28" s="15" t="s">
        <v>89</v>
      </c>
    </row>
    <row r="29" spans="1:3">
      <c r="A29" s="13" t="s">
        <v>110</v>
      </c>
      <c r="B29" s="16">
        <f>0.125/(2*PI())</f>
        <v>0.0198943678864869</v>
      </c>
      <c r="C29" s="15" t="s">
        <v>99</v>
      </c>
    </row>
    <row r="30" spans="1:3">
      <c r="A30" s="13" t="s">
        <v>111</v>
      </c>
      <c r="B30" s="16">
        <f>B5/B28</f>
        <v>0.831408775981524</v>
      </c>
      <c r="C30" s="15" t="s">
        <v>112</v>
      </c>
    </row>
    <row r="31" spans="1:1">
      <c r="A31" s="12" t="s">
        <v>102</v>
      </c>
    </row>
    <row r="32" spans="1:3">
      <c r="A32" s="13" t="s">
        <v>3</v>
      </c>
      <c r="B32" s="16" t="e">
        <f>2*PI()/B34</f>
        <v>#DIV/0!</v>
      </c>
      <c r="C32" s="15" t="s">
        <v>104</v>
      </c>
    </row>
    <row r="33" spans="1:3">
      <c r="A33" s="13" t="s">
        <v>4</v>
      </c>
      <c r="B33" s="16">
        <f>B37*B36</f>
        <v>0.172285225896977</v>
      </c>
      <c r="C33" s="15" t="s">
        <v>89</v>
      </c>
    </row>
    <row r="34" spans="1:3">
      <c r="A34" s="13" t="s">
        <v>105</v>
      </c>
      <c r="B34" s="16" t="e">
        <f>SQRT(B35*9.81*TANH(B35*B13))</f>
        <v>#DIV/0!</v>
      </c>
      <c r="C34" s="15" t="s">
        <v>106</v>
      </c>
    </row>
    <row r="35" spans="1:3">
      <c r="A35" s="13" t="s">
        <v>107</v>
      </c>
      <c r="B35" s="16">
        <f>2*PI()/B36</f>
        <v>1.45108205708535</v>
      </c>
      <c r="C35" s="15" t="s">
        <v>108</v>
      </c>
    </row>
    <row r="36" spans="1:3">
      <c r="A36" s="13" t="s">
        <v>109</v>
      </c>
      <c r="B36" s="16">
        <v>4.33</v>
      </c>
      <c r="C36" s="15" t="s">
        <v>89</v>
      </c>
    </row>
    <row r="37" spans="1:3">
      <c r="A37" s="13" t="s">
        <v>110</v>
      </c>
      <c r="B37" s="16">
        <f>0.25/(2*PI())</f>
        <v>0.0397887357729738</v>
      </c>
      <c r="C37" s="15" t="s">
        <v>99</v>
      </c>
    </row>
    <row r="38" spans="1:3">
      <c r="A38" s="13" t="s">
        <v>111</v>
      </c>
      <c r="B38" s="16">
        <f>B5/B36</f>
        <v>0.831408775981524</v>
      </c>
      <c r="C38" s="15" t="s">
        <v>112</v>
      </c>
    </row>
    <row r="39" customFormat="true"/>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77</v>
      </c>
      <c r="C45" s="20"/>
    </row>
    <row r="46" spans="1:3">
      <c r="A46" s="18" t="s">
        <v>2</v>
      </c>
      <c r="B46" s="19" t="s">
        <v>81</v>
      </c>
      <c r="C46" s="20"/>
    </row>
  </sheetData>
  <conditionalFormatting sqref="B22">
    <cfRule type="cellIs" dxfId="0" priority="7" operator="greaterThan">
      <formula>$C$6/2.5</formula>
    </cfRule>
  </conditionalFormatting>
  <conditionalFormatting sqref="B30">
    <cfRule type="cellIs" dxfId="1" priority="4" operator="between">
      <formula>0.5</formula>
      <formula>0.05</formula>
    </cfRule>
    <cfRule type="cellIs" dxfId="2" priority="3" operator="lessThan">
      <formula>0.5</formula>
    </cfRule>
  </conditionalFormatting>
  <conditionalFormatting sqref="B38">
    <cfRule type="cellIs" dxfId="1" priority="2" operator="between">
      <formula>0.5</formula>
      <formula>0.05</formula>
    </cfRule>
    <cfRule type="cellIs" dxfId="2" priority="1" operator="lessThan">
      <formula>0.5</formula>
    </cfRule>
  </conditionalFormatting>
  <pageMargins left="0.75" right="0.75" top="1" bottom="1" header="0.5" footer="0.5"/>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70" zoomScaleNormal="70" workbookViewId="0">
      <selection activeCell="B46" sqref="B46"/>
    </sheetView>
  </sheetViews>
  <sheetFormatPr defaultColWidth="8.8" defaultRowHeight="15.75" outlineLevelCol="3"/>
  <cols>
    <col min="1" max="1" width="17.1" customWidth="true"/>
    <col min="2" max="2" width="10.7133333333333" customWidth="true"/>
  </cols>
  <sheetData>
    <row r="1" customFormat="true" spans="1:4">
      <c r="A1" t="s">
        <v>148</v>
      </c>
      <c r="D1" t="s">
        <v>149</v>
      </c>
    </row>
    <row r="2" spans="1:3">
      <c r="A2" s="1" t="s">
        <v>86</v>
      </c>
      <c r="B2" s="2"/>
      <c r="C2" s="2"/>
    </row>
    <row r="3" spans="1:3">
      <c r="A3" s="3" t="s">
        <v>88</v>
      </c>
      <c r="B3" s="4"/>
      <c r="C3" s="5" t="s">
        <v>89</v>
      </c>
    </row>
    <row r="4" spans="1:3">
      <c r="A4" s="3" t="s">
        <v>90</v>
      </c>
      <c r="B4" s="4"/>
      <c r="C4" s="5" t="s">
        <v>89</v>
      </c>
    </row>
    <row r="5" spans="1:3">
      <c r="A5" s="3" t="s">
        <v>91</v>
      </c>
      <c r="B5" s="4">
        <v>3</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f t="shared" ref="B10:B13" si="0">B20/$B$19</f>
        <v>280</v>
      </c>
      <c r="C10" s="10" t="s">
        <v>89</v>
      </c>
    </row>
    <row r="11" spans="1:3">
      <c r="A11" s="8" t="s">
        <v>96</v>
      </c>
      <c r="B11" s="24">
        <f t="shared" si="0"/>
        <v>51.9796410393785</v>
      </c>
      <c r="C11" s="10" t="s">
        <v>89</v>
      </c>
    </row>
    <row r="12" spans="1:3">
      <c r="A12" s="8" t="s">
        <v>91</v>
      </c>
      <c r="B12" s="24">
        <f t="shared" si="0"/>
        <v>30.5277256897937</v>
      </c>
      <c r="C12" s="10" t="s">
        <v>89</v>
      </c>
    </row>
    <row r="13" spans="1:3">
      <c r="A13" s="8" t="s">
        <v>97</v>
      </c>
      <c r="B13" s="24">
        <f t="shared" si="0"/>
        <v>22.20198231985</v>
      </c>
      <c r="C13" s="10" t="s">
        <v>89</v>
      </c>
    </row>
    <row r="14" spans="1:3">
      <c r="A14" s="8" t="s">
        <v>98</v>
      </c>
      <c r="B14" s="24">
        <f>B10/B11</f>
        <v>5.38672438672439</v>
      </c>
      <c r="C14" s="10" t="s">
        <v>99</v>
      </c>
    </row>
    <row r="15" spans="1:3">
      <c r="A15" s="8" t="s">
        <v>100</v>
      </c>
      <c r="B15" s="24">
        <f>B11/B13</f>
        <v>2.34121621621622</v>
      </c>
      <c r="C15" s="10" t="s">
        <v>99</v>
      </c>
    </row>
    <row r="16" spans="1:3">
      <c r="A16" s="8" t="s">
        <v>101</v>
      </c>
      <c r="B16" s="11">
        <v>0</v>
      </c>
      <c r="C16" s="10" t="s">
        <v>93</v>
      </c>
    </row>
    <row r="18" spans="1:3">
      <c r="A18" s="12" t="s">
        <v>102</v>
      </c>
      <c r="B18" s="2"/>
      <c r="C18" s="2"/>
    </row>
    <row r="19" spans="1:4">
      <c r="A19" s="13" t="s">
        <v>103</v>
      </c>
      <c r="B19" s="14">
        <f>3.733/280</f>
        <v>0.0133321428571429</v>
      </c>
      <c r="C19" s="15" t="s">
        <v>99</v>
      </c>
      <c r="D19">
        <f>1/B19</f>
        <v>75.0066970265202</v>
      </c>
    </row>
    <row r="20" spans="1:3">
      <c r="A20" s="13" t="s">
        <v>88</v>
      </c>
      <c r="B20" s="16">
        <v>3.733</v>
      </c>
      <c r="C20" s="15" t="s">
        <v>89</v>
      </c>
    </row>
    <row r="21" spans="1:3">
      <c r="A21" s="13" t="s">
        <v>96</v>
      </c>
      <c r="B21" s="16">
        <v>0.693</v>
      </c>
      <c r="C21" s="15" t="s">
        <v>89</v>
      </c>
    </row>
    <row r="22" spans="1:3">
      <c r="A22" s="13" t="s">
        <v>91</v>
      </c>
      <c r="B22" s="16">
        <v>0.407</v>
      </c>
      <c r="C22" s="15" t="s">
        <v>89</v>
      </c>
    </row>
    <row r="23" spans="1:3">
      <c r="A23" s="13" t="s">
        <v>97</v>
      </c>
      <c r="B23" s="16">
        <v>0.296</v>
      </c>
      <c r="C23" s="15" t="s">
        <v>89</v>
      </c>
    </row>
    <row r="24" spans="1:3">
      <c r="A24" s="13" t="s">
        <v>3</v>
      </c>
      <c r="B24" s="16">
        <f>12*SQRT(B19)</f>
        <v>1.38557878571685</v>
      </c>
      <c r="C24" s="15" t="s">
        <v>104</v>
      </c>
    </row>
    <row r="25" spans="1:3">
      <c r="A25" s="13" t="s">
        <v>4</v>
      </c>
      <c r="B25" s="16">
        <f>8*B19</f>
        <v>0.106657142857143</v>
      </c>
      <c r="C25" s="15" t="s">
        <v>89</v>
      </c>
    </row>
    <row r="26" spans="1:3">
      <c r="A26" s="13" t="s">
        <v>105</v>
      </c>
      <c r="B26" s="16">
        <f>2*PI()/B24</f>
        <v>4.53470085710709</v>
      </c>
      <c r="C26" s="15" t="s">
        <v>106</v>
      </c>
    </row>
    <row r="27" spans="1:3">
      <c r="A27" s="13" t="s">
        <v>107</v>
      </c>
      <c r="B27" s="16">
        <f>(B26^2)/(9.81*TANH((B26^2)*B5/9.81))</f>
        <v>2.09619304397259</v>
      </c>
      <c r="C27" s="15" t="s">
        <v>108</v>
      </c>
    </row>
    <row r="28" spans="1:3">
      <c r="A28" s="13" t="s">
        <v>109</v>
      </c>
      <c r="B28" s="16">
        <f>2*PI()/B27</f>
        <v>2.99742684732511</v>
      </c>
      <c r="C28" s="15" t="s">
        <v>89</v>
      </c>
    </row>
    <row r="29" spans="1:3">
      <c r="A29" s="13" t="s">
        <v>110</v>
      </c>
      <c r="B29" s="16">
        <f>B25/B28</f>
        <v>0.0355829010313706</v>
      </c>
      <c r="C29" s="15" t="s">
        <v>99</v>
      </c>
    </row>
    <row r="30" spans="1:3">
      <c r="A30" s="13" t="s">
        <v>111</v>
      </c>
      <c r="B30" s="16">
        <f>B5/B28</f>
        <v>1.00085845386925</v>
      </c>
      <c r="C30" s="15" t="s">
        <v>112</v>
      </c>
    </row>
    <row r="31" spans="1:1">
      <c r="A31" s="12" t="s">
        <v>102</v>
      </c>
    </row>
    <row r="32" spans="1:3">
      <c r="A32" s="13" t="s">
        <v>3</v>
      </c>
      <c r="B32" s="16">
        <f>20*SQRT(B19)</f>
        <v>2.30929797619474</v>
      </c>
      <c r="C32" s="15" t="s">
        <v>104</v>
      </c>
    </row>
    <row r="33" spans="1:3">
      <c r="A33" s="13" t="s">
        <v>4</v>
      </c>
      <c r="B33" s="16">
        <f>14*B19</f>
        <v>0.18665</v>
      </c>
      <c r="C33" s="15" t="s">
        <v>89</v>
      </c>
    </row>
    <row r="34" spans="1:3">
      <c r="A34" s="13" t="s">
        <v>105</v>
      </c>
      <c r="B34" s="16">
        <f>2*PI()/B32</f>
        <v>2.72082051426425</v>
      </c>
      <c r="C34" s="15" t="s">
        <v>106</v>
      </c>
    </row>
    <row r="35" spans="1:3">
      <c r="A35" s="13" t="s">
        <v>107</v>
      </c>
      <c r="B35" s="16">
        <f>(B34^2)/(9.81*TANH((B34^2)*B5/9.81))</f>
        <v>0.771109855182818</v>
      </c>
      <c r="C35" s="15" t="s">
        <v>108</v>
      </c>
    </row>
    <row r="36" spans="1:3">
      <c r="A36" s="13" t="s">
        <v>109</v>
      </c>
      <c r="B36" s="16">
        <f>2*PI()/B35</f>
        <v>8.14823629207792</v>
      </c>
      <c r="C36" s="15" t="s">
        <v>89</v>
      </c>
    </row>
    <row r="37" spans="1:3">
      <c r="A37" s="13" t="s">
        <v>110</v>
      </c>
      <c r="B37" s="16">
        <f>B33/B36</f>
        <v>0.0229067976565026</v>
      </c>
      <c r="C37" s="15" t="s">
        <v>99</v>
      </c>
    </row>
    <row r="38" spans="1:3">
      <c r="A38" s="13" t="s">
        <v>111</v>
      </c>
      <c r="B38" s="16">
        <f>B5/B36</f>
        <v>0.368177835357663</v>
      </c>
      <c r="C38" s="15" t="s">
        <v>112</v>
      </c>
    </row>
    <row r="40" spans="1:1">
      <c r="A40" s="17" t="s">
        <v>113</v>
      </c>
    </row>
    <row r="41" spans="1:3">
      <c r="A41" s="18" t="s">
        <v>83</v>
      </c>
      <c r="B41" s="19"/>
      <c r="C41" s="20"/>
    </row>
    <row r="42" spans="1:3">
      <c r="A42" s="18" t="s">
        <v>116</v>
      </c>
      <c r="B42" s="19">
        <v>3.3</v>
      </c>
      <c r="C42" s="20"/>
    </row>
    <row r="43" spans="1:3">
      <c r="A43" s="18"/>
      <c r="B43" s="19"/>
      <c r="C43" s="20"/>
    </row>
    <row r="44" spans="1:3">
      <c r="A44" s="18"/>
      <c r="B44" s="19"/>
      <c r="C44" s="20"/>
    </row>
    <row r="45" spans="1:3">
      <c r="A45" s="18" t="s">
        <v>117</v>
      </c>
      <c r="B45" s="19" t="s">
        <v>77</v>
      </c>
      <c r="C45" s="20"/>
    </row>
    <row r="46" spans="1:3">
      <c r="A46" s="18" t="s">
        <v>2</v>
      </c>
      <c r="B46" s="19" t="s">
        <v>83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70" zoomScaleNormal="70" topLeftCell="A9" workbookViewId="0">
      <selection activeCell="B18" sqref="B18"/>
    </sheetView>
  </sheetViews>
  <sheetFormatPr defaultColWidth="8.8" defaultRowHeight="15.75" outlineLevelCol="3"/>
  <cols>
    <col min="1" max="1" width="17.1" customWidth="true"/>
    <col min="2" max="2" width="10.5733333333333" customWidth="true"/>
  </cols>
  <sheetData>
    <row r="1" customFormat="true" spans="1:4">
      <c r="A1" t="s">
        <v>150</v>
      </c>
      <c r="D1" t="s">
        <v>151</v>
      </c>
    </row>
    <row r="2" spans="1:3">
      <c r="A2" s="1" t="s">
        <v>86</v>
      </c>
      <c r="B2" s="2"/>
      <c r="C2" s="2"/>
    </row>
    <row r="3" spans="1:3">
      <c r="A3" s="3" t="s">
        <v>88</v>
      </c>
      <c r="B3" s="4">
        <v>13.5</v>
      </c>
      <c r="C3" s="5" t="s">
        <v>89</v>
      </c>
    </row>
    <row r="4" spans="1:3">
      <c r="A4" s="3" t="s">
        <v>90</v>
      </c>
      <c r="B4" s="4">
        <v>0.6</v>
      </c>
      <c r="C4" s="5" t="s">
        <v>89</v>
      </c>
    </row>
    <row r="5" spans="1:3">
      <c r="A5" s="3" t="s">
        <v>91</v>
      </c>
      <c r="B5" s="4">
        <v>1.035</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t="e">
        <f t="shared" ref="B10:B13" si="0">B20/$B$19</f>
        <v>#DIV/0!</v>
      </c>
      <c r="C10" s="10" t="s">
        <v>89</v>
      </c>
    </row>
    <row r="11" spans="1:3">
      <c r="A11" s="8" t="s">
        <v>96</v>
      </c>
      <c r="B11" s="9" t="e">
        <f t="shared" si="0"/>
        <v>#DIV/0!</v>
      </c>
      <c r="C11" s="10" t="s">
        <v>89</v>
      </c>
    </row>
    <row r="12" spans="1:3">
      <c r="A12" s="8" t="s">
        <v>91</v>
      </c>
      <c r="B12" s="9" t="e">
        <f t="shared" si="0"/>
        <v>#DIV/0!</v>
      </c>
      <c r="C12" s="10" t="s">
        <v>89</v>
      </c>
    </row>
    <row r="13" spans="1:3">
      <c r="A13" s="8" t="s">
        <v>97</v>
      </c>
      <c r="B13" s="9" t="e">
        <f t="shared" si="0"/>
        <v>#DIV/0!</v>
      </c>
      <c r="C13" s="10" t="s">
        <v>89</v>
      </c>
    </row>
    <row r="14" spans="1:3">
      <c r="A14" s="8" t="s">
        <v>98</v>
      </c>
      <c r="B14" s="9" t="e">
        <f>B10/B11</f>
        <v>#DIV/0!</v>
      </c>
      <c r="C14" s="10" t="s">
        <v>99</v>
      </c>
    </row>
    <row r="15" spans="1:3">
      <c r="A15" s="8" t="s">
        <v>152</v>
      </c>
      <c r="B15" s="24" t="e">
        <f>B10/B13</f>
        <v>#DIV/0!</v>
      </c>
      <c r="C15" s="10" t="s">
        <v>99</v>
      </c>
    </row>
    <row r="16" spans="1:3">
      <c r="A16" s="8" t="s">
        <v>101</v>
      </c>
      <c r="B16" s="11"/>
      <c r="C16" s="10" t="s">
        <v>93</v>
      </c>
    </row>
    <row r="18" spans="1:3">
      <c r="A18" s="12" t="s">
        <v>102</v>
      </c>
      <c r="B18" s="2"/>
      <c r="C18" s="2"/>
    </row>
    <row r="19" spans="1:4">
      <c r="A19" s="13" t="s">
        <v>103</v>
      </c>
      <c r="B19" s="26"/>
      <c r="C19" s="15" t="s">
        <v>99</v>
      </c>
      <c r="D19" t="e">
        <f>1/B19</f>
        <v>#DIV/0!</v>
      </c>
    </row>
    <row r="20" spans="1:3">
      <c r="A20" s="13" t="s">
        <v>88</v>
      </c>
      <c r="B20" s="16">
        <v>1.5</v>
      </c>
      <c r="C20" s="15" t="s">
        <v>89</v>
      </c>
    </row>
    <row r="21" spans="1:3">
      <c r="A21" s="13" t="s">
        <v>96</v>
      </c>
      <c r="B21" s="16"/>
      <c r="C21" s="15" t="s">
        <v>89</v>
      </c>
    </row>
    <row r="22" spans="1:3">
      <c r="A22" s="13" t="s">
        <v>91</v>
      </c>
      <c r="B22" s="16"/>
      <c r="C22" s="15" t="s">
        <v>89</v>
      </c>
    </row>
    <row r="23" spans="1:3">
      <c r="A23" s="13" t="s">
        <v>97</v>
      </c>
      <c r="B23" s="16">
        <v>0.198</v>
      </c>
      <c r="C23" s="15" t="s">
        <v>89</v>
      </c>
    </row>
    <row r="24" spans="1:3">
      <c r="A24" s="13" t="s">
        <v>3</v>
      </c>
      <c r="B24" s="16">
        <f>2*PI()/B26</f>
        <v>0.980337354799647</v>
      </c>
      <c r="C24" s="15" t="s">
        <v>104</v>
      </c>
    </row>
    <row r="25" spans="1:3">
      <c r="A25" s="13" t="s">
        <v>4</v>
      </c>
      <c r="B25" s="16">
        <v>0.08</v>
      </c>
      <c r="C25" s="15" t="s">
        <v>89</v>
      </c>
    </row>
    <row r="26" spans="1:3">
      <c r="A26" s="13" t="s">
        <v>105</v>
      </c>
      <c r="B26" s="16">
        <f>SQRT(B27*9.81*TANH(B27*B5))</f>
        <v>6.40920727586035</v>
      </c>
      <c r="C26" s="15" t="s">
        <v>106</v>
      </c>
    </row>
    <row r="27" spans="1:3">
      <c r="A27" s="13" t="s">
        <v>107</v>
      </c>
      <c r="B27" s="16">
        <f>2*PI()/B28</f>
        <v>4.18879020478639</v>
      </c>
      <c r="C27" s="15" t="s">
        <v>108</v>
      </c>
    </row>
    <row r="28" spans="1:3">
      <c r="A28" s="13" t="s">
        <v>109</v>
      </c>
      <c r="B28" s="16">
        <v>1.5</v>
      </c>
      <c r="C28" s="15" t="s">
        <v>89</v>
      </c>
    </row>
    <row r="29" spans="1:3">
      <c r="A29" s="13" t="s">
        <v>110</v>
      </c>
      <c r="B29" s="16">
        <f>B25/B28</f>
        <v>0.0533333333333333</v>
      </c>
      <c r="C29" s="15" t="s">
        <v>99</v>
      </c>
    </row>
    <row r="30" spans="1:3">
      <c r="A30" s="13" t="s">
        <v>111</v>
      </c>
      <c r="B30" s="16">
        <f>B5/B28</f>
        <v>0.69</v>
      </c>
      <c r="C30" s="15" t="s">
        <v>112</v>
      </c>
    </row>
    <row r="31" spans="1:1">
      <c r="A31" s="12" t="s">
        <v>102</v>
      </c>
    </row>
    <row r="32" spans="1:3">
      <c r="A32" s="13" t="s">
        <v>3</v>
      </c>
      <c r="B32" s="16">
        <f>2*PI()/B34</f>
        <v>1.2723756355774</v>
      </c>
      <c r="C32" s="15" t="s">
        <v>104</v>
      </c>
    </row>
    <row r="33" spans="1:3">
      <c r="A33" s="13" t="s">
        <v>4</v>
      </c>
      <c r="B33" s="16">
        <v>0.16</v>
      </c>
      <c r="C33" s="15" t="s">
        <v>89</v>
      </c>
    </row>
    <row r="34" spans="1:3">
      <c r="A34" s="13" t="s">
        <v>105</v>
      </c>
      <c r="B34" s="16">
        <f>SQRT(B35*9.81*TANH(B35*B5))</f>
        <v>4.9381527997652</v>
      </c>
      <c r="C34" s="15" t="s">
        <v>106</v>
      </c>
    </row>
    <row r="35" spans="1:3">
      <c r="A35" s="13" t="s">
        <v>107</v>
      </c>
      <c r="B35" s="16">
        <f>2*PI()/B36</f>
        <v>2.51327412287183</v>
      </c>
      <c r="C35" s="15" t="s">
        <v>108</v>
      </c>
    </row>
    <row r="36" spans="1:3">
      <c r="A36" s="13" t="s">
        <v>109</v>
      </c>
      <c r="B36" s="16">
        <v>2.5</v>
      </c>
      <c r="C36" s="15" t="s">
        <v>89</v>
      </c>
    </row>
    <row r="37" spans="1:3">
      <c r="A37" s="13" t="s">
        <v>110</v>
      </c>
      <c r="B37" s="16">
        <f>B33/B36</f>
        <v>0.064</v>
      </c>
      <c r="C37" s="15" t="s">
        <v>99</v>
      </c>
    </row>
    <row r="38" spans="1:3">
      <c r="A38" s="13" t="s">
        <v>111</v>
      </c>
      <c r="B38" s="16">
        <f>B5/B36</f>
        <v>0.414</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74</v>
      </c>
      <c r="C45" s="20"/>
    </row>
    <row r="46" spans="1:3">
      <c r="A46" s="18" t="s">
        <v>2</v>
      </c>
      <c r="B46" s="19" t="s">
        <v>78</v>
      </c>
      <c r="C46" s="20"/>
    </row>
  </sheetData>
  <conditionalFormatting sqref="B22">
    <cfRule type="cellIs" dxfId="0" priority="1" operator="greaterThan">
      <formula>$C$6/2.5</formula>
    </cfRule>
  </conditionalFormatting>
  <conditionalFormatting sqref="B30">
    <cfRule type="cellIs" dxfId="1" priority="5" operator="between">
      <formula>0.5</formula>
      <formula>0.05</formula>
    </cfRule>
    <cfRule type="cellIs" dxfId="2" priority="4" operator="lessThan">
      <formula>0.5</formula>
    </cfRule>
  </conditionalFormatting>
  <conditionalFormatting sqref="B38">
    <cfRule type="cellIs" dxfId="1" priority="3" operator="between">
      <formula>0.5</formula>
      <formula>0.05</formula>
    </cfRule>
    <cfRule type="cellIs" dxfId="2" priority="2" operator="lessThan">
      <formula>0.5</formula>
    </cfRule>
  </conditionalFormatting>
  <pageMargins left="0.75" right="0.75" top="1" bottom="1" header="0.5" footer="0.5"/>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5" workbookViewId="0">
      <selection activeCell="B18" sqref="B18"/>
    </sheetView>
  </sheetViews>
  <sheetFormatPr defaultColWidth="8.8" defaultRowHeight="15.75" outlineLevelCol="3"/>
  <cols>
    <col min="1" max="1" width="17.1" customWidth="true"/>
    <col min="2" max="2" width="10.5733333333333" customWidth="true"/>
  </cols>
  <sheetData>
    <row r="1" customFormat="true" spans="1:4">
      <c r="A1" t="s">
        <v>153</v>
      </c>
      <c r="D1" t="s">
        <v>154</v>
      </c>
    </row>
    <row r="2" spans="1:3">
      <c r="A2" s="1" t="s">
        <v>86</v>
      </c>
      <c r="B2" s="2"/>
      <c r="C2" s="2"/>
    </row>
    <row r="3" spans="1:3">
      <c r="A3" s="3" t="s">
        <v>88</v>
      </c>
      <c r="B3" s="4">
        <v>13.5</v>
      </c>
      <c r="C3" s="5" t="s">
        <v>89</v>
      </c>
    </row>
    <row r="4" spans="1:3">
      <c r="A4" s="3" t="s">
        <v>90</v>
      </c>
      <c r="B4" s="4">
        <v>0.6</v>
      </c>
      <c r="C4" s="5" t="s">
        <v>89</v>
      </c>
    </row>
    <row r="5" spans="1:3">
      <c r="A5" s="3" t="s">
        <v>91</v>
      </c>
      <c r="B5" s="4">
        <v>1.035</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t="e">
        <f t="shared" ref="B10:B13" si="0">B20/$B$19</f>
        <v>#DIV/0!</v>
      </c>
      <c r="C10" s="10" t="s">
        <v>89</v>
      </c>
    </row>
    <row r="11" spans="1:3">
      <c r="A11" s="8" t="s">
        <v>96</v>
      </c>
      <c r="B11" s="9" t="e">
        <f t="shared" si="0"/>
        <v>#DIV/0!</v>
      </c>
      <c r="C11" s="10" t="s">
        <v>89</v>
      </c>
    </row>
    <row r="12" spans="1:3">
      <c r="A12" s="8" t="s">
        <v>91</v>
      </c>
      <c r="B12" s="9" t="e">
        <f t="shared" si="0"/>
        <v>#DIV/0!</v>
      </c>
      <c r="C12" s="10" t="s">
        <v>89</v>
      </c>
    </row>
    <row r="13" spans="1:3">
      <c r="A13" s="8" t="s">
        <v>97</v>
      </c>
      <c r="B13" s="9" t="e">
        <f t="shared" si="0"/>
        <v>#DIV/0!</v>
      </c>
      <c r="C13" s="10" t="s">
        <v>89</v>
      </c>
    </row>
    <row r="14" spans="1:3">
      <c r="A14" s="8" t="s">
        <v>98</v>
      </c>
      <c r="B14" s="9" t="e">
        <f>B10/B11</f>
        <v>#DIV/0!</v>
      </c>
      <c r="C14" s="10" t="s">
        <v>99</v>
      </c>
    </row>
    <row r="15" spans="1:3">
      <c r="A15" s="8" t="s">
        <v>152</v>
      </c>
      <c r="B15" s="24" t="e">
        <f>B10/B13</f>
        <v>#DIV/0!</v>
      </c>
      <c r="C15" s="10" t="s">
        <v>99</v>
      </c>
    </row>
    <row r="16" spans="1:3">
      <c r="A16" s="8" t="s">
        <v>101</v>
      </c>
      <c r="B16" s="11"/>
      <c r="C16" s="10" t="s">
        <v>93</v>
      </c>
    </row>
    <row r="18" spans="1:3">
      <c r="A18" s="12" t="s">
        <v>102</v>
      </c>
      <c r="B18" s="2"/>
      <c r="C18" s="2"/>
    </row>
    <row r="19" spans="1:4">
      <c r="A19" s="13" t="s">
        <v>103</v>
      </c>
      <c r="B19" s="26"/>
      <c r="C19" s="15" t="s">
        <v>99</v>
      </c>
      <c r="D19" t="e">
        <f>1/B19</f>
        <v>#DIV/0!</v>
      </c>
    </row>
    <row r="20" spans="1:3">
      <c r="A20" s="13" t="s">
        <v>88</v>
      </c>
      <c r="B20" s="16">
        <v>1.5</v>
      </c>
      <c r="C20" s="15" t="s">
        <v>89</v>
      </c>
    </row>
    <row r="21" spans="1:3">
      <c r="A21" s="13" t="s">
        <v>96</v>
      </c>
      <c r="B21" s="16"/>
      <c r="C21" s="15" t="s">
        <v>89</v>
      </c>
    </row>
    <row r="22" spans="1:3">
      <c r="A22" s="13" t="s">
        <v>91</v>
      </c>
      <c r="B22" s="16"/>
      <c r="C22" s="15" t="s">
        <v>89</v>
      </c>
    </row>
    <row r="23" spans="1:3">
      <c r="A23" s="13" t="s">
        <v>97</v>
      </c>
      <c r="B23" s="16">
        <v>0.198</v>
      </c>
      <c r="C23" s="15" t="s">
        <v>89</v>
      </c>
    </row>
    <row r="24" spans="1:3">
      <c r="A24" s="13" t="s">
        <v>3</v>
      </c>
      <c r="B24" s="16">
        <f>2*PI()/B26</f>
        <v>0.980337354799647</v>
      </c>
      <c r="C24" s="15" t="s">
        <v>104</v>
      </c>
    </row>
    <row r="25" spans="1:3">
      <c r="A25" s="13" t="s">
        <v>4</v>
      </c>
      <c r="B25" s="16">
        <v>0.08</v>
      </c>
      <c r="C25" s="15" t="s">
        <v>89</v>
      </c>
    </row>
    <row r="26" spans="1:3">
      <c r="A26" s="13" t="s">
        <v>105</v>
      </c>
      <c r="B26" s="16">
        <f>SQRT(B27*9.81*TANH(B27*B5))</f>
        <v>6.40920727586035</v>
      </c>
      <c r="C26" s="15" t="s">
        <v>106</v>
      </c>
    </row>
    <row r="27" spans="1:3">
      <c r="A27" s="13" t="s">
        <v>107</v>
      </c>
      <c r="B27" s="16">
        <f>2*PI()/B28</f>
        <v>4.18879020478639</v>
      </c>
      <c r="C27" s="15" t="s">
        <v>108</v>
      </c>
    </row>
    <row r="28" spans="1:3">
      <c r="A28" s="13" t="s">
        <v>109</v>
      </c>
      <c r="B28" s="16">
        <v>1.5</v>
      </c>
      <c r="C28" s="15" t="s">
        <v>89</v>
      </c>
    </row>
    <row r="29" spans="1:3">
      <c r="A29" s="13" t="s">
        <v>110</v>
      </c>
      <c r="B29" s="16">
        <f>B25/B28</f>
        <v>0.0533333333333333</v>
      </c>
      <c r="C29" s="15" t="s">
        <v>99</v>
      </c>
    </row>
    <row r="30" spans="1:3">
      <c r="A30" s="13" t="s">
        <v>111</v>
      </c>
      <c r="B30" s="16">
        <f>B5/B28</f>
        <v>0.69</v>
      </c>
      <c r="C30" s="15" t="s">
        <v>112</v>
      </c>
    </row>
    <row r="31" customFormat="true" spans="1:1">
      <c r="A31" s="12" t="s">
        <v>102</v>
      </c>
    </row>
    <row r="32" spans="1:3">
      <c r="A32" s="13" t="s">
        <v>3</v>
      </c>
      <c r="B32" s="16">
        <f>2*PI()/B34</f>
        <v>1.2723756355774</v>
      </c>
      <c r="C32" s="15" t="s">
        <v>104</v>
      </c>
    </row>
    <row r="33" spans="1:3">
      <c r="A33" s="13" t="s">
        <v>4</v>
      </c>
      <c r="B33" s="16">
        <v>0.16</v>
      </c>
      <c r="C33" s="15" t="s">
        <v>89</v>
      </c>
    </row>
    <row r="34" spans="1:3">
      <c r="A34" s="13" t="s">
        <v>105</v>
      </c>
      <c r="B34" s="16">
        <f>SQRT(B35*9.81*TANH(B35*B5))</f>
        <v>4.9381527997652</v>
      </c>
      <c r="C34" s="15" t="s">
        <v>106</v>
      </c>
    </row>
    <row r="35" spans="1:3">
      <c r="A35" s="13" t="s">
        <v>107</v>
      </c>
      <c r="B35" s="16">
        <f>2*PI()/B36</f>
        <v>2.51327412287183</v>
      </c>
      <c r="C35" s="15" t="s">
        <v>108</v>
      </c>
    </row>
    <row r="36" spans="1:3">
      <c r="A36" s="13" t="s">
        <v>109</v>
      </c>
      <c r="B36" s="16">
        <v>2.5</v>
      </c>
      <c r="C36" s="15" t="s">
        <v>89</v>
      </c>
    </row>
    <row r="37" spans="1:3">
      <c r="A37" s="13" t="s">
        <v>110</v>
      </c>
      <c r="B37" s="16">
        <f>B33/B36</f>
        <v>0.064</v>
      </c>
      <c r="C37" s="15" t="s">
        <v>99</v>
      </c>
    </row>
    <row r="38" spans="1:3">
      <c r="A38" s="13" t="s">
        <v>111</v>
      </c>
      <c r="B38" s="16">
        <f>B5/B36</f>
        <v>0.414</v>
      </c>
      <c r="C38" s="15" t="s">
        <v>112</v>
      </c>
    </row>
    <row r="40" customFormat="true"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74</v>
      </c>
      <c r="C45" s="20"/>
    </row>
    <row r="46" spans="1:3">
      <c r="A46" s="18" t="s">
        <v>2</v>
      </c>
      <c r="B46" s="19" t="s">
        <v>78</v>
      </c>
      <c r="C46" s="20"/>
    </row>
  </sheetData>
  <conditionalFormatting sqref="B22">
    <cfRule type="cellIs" dxfId="0" priority="1" operator="greaterThan">
      <formula>$C$6/2.5</formula>
    </cfRule>
  </conditionalFormatting>
  <conditionalFormatting sqref="B30">
    <cfRule type="cellIs" dxfId="1" priority="5" operator="between">
      <formula>0.5</formula>
      <formula>0.05</formula>
    </cfRule>
    <cfRule type="cellIs" dxfId="2" priority="4" operator="lessThan">
      <formula>0.5</formula>
    </cfRule>
  </conditionalFormatting>
  <conditionalFormatting sqref="B38">
    <cfRule type="cellIs" dxfId="1" priority="3" operator="between">
      <formula>0.5</formula>
      <formula>0.05</formula>
    </cfRule>
    <cfRule type="cellIs" dxfId="2" priority="2" operator="lessThan">
      <formula>0.5</formula>
    </cfRule>
  </conditionalFormatting>
  <pageMargins left="0.75" right="0.75" top="1" bottom="1" header="0.5" footer="0.5"/>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7" sqref="B7"/>
    </sheetView>
  </sheetViews>
  <sheetFormatPr defaultColWidth="8.8" defaultRowHeight="15.75" outlineLevelCol="3"/>
  <cols>
    <col min="1" max="1" width="17.1" customWidth="true"/>
    <col min="2" max="2" width="8.8" customWidth="true"/>
  </cols>
  <sheetData>
    <row r="2" spans="1:3">
      <c r="A2" s="1" t="s">
        <v>86</v>
      </c>
      <c r="B2" s="2"/>
      <c r="C2" s="2"/>
    </row>
    <row r="3" spans="1:3">
      <c r="A3" s="3" t="s">
        <v>88</v>
      </c>
      <c r="B3" s="4">
        <v>220</v>
      </c>
      <c r="C3" s="5" t="s">
        <v>89</v>
      </c>
    </row>
    <row r="4" spans="1:3">
      <c r="A4" s="3" t="s">
        <v>90</v>
      </c>
      <c r="B4" s="4">
        <v>9</v>
      </c>
      <c r="C4" s="5" t="s">
        <v>89</v>
      </c>
    </row>
    <row r="5" spans="1:3">
      <c r="A5" s="3" t="s">
        <v>91</v>
      </c>
      <c r="B5" s="4">
        <v>3.6</v>
      </c>
      <c r="C5" s="5" t="s">
        <v>89</v>
      </c>
    </row>
    <row r="6" spans="1:3">
      <c r="A6" s="3" t="s">
        <v>92</v>
      </c>
      <c r="B6" s="4"/>
      <c r="C6" s="5" t="s">
        <v>93</v>
      </c>
    </row>
    <row r="7" spans="1:3">
      <c r="A7" s="3" t="s">
        <v>94</v>
      </c>
      <c r="B7" s="25">
        <f>0.189*SQRT(9.81*B20)</f>
        <v>1.18393075811046</v>
      </c>
      <c r="C7" s="5" t="s">
        <v>93</v>
      </c>
    </row>
    <row r="8" spans="1:3">
      <c r="A8" s="2"/>
      <c r="B8" s="2"/>
      <c r="C8" s="2"/>
    </row>
    <row r="9" spans="1:3">
      <c r="A9" s="6" t="s">
        <v>95</v>
      </c>
      <c r="B9" s="7"/>
      <c r="C9" s="7"/>
    </row>
    <row r="10" spans="1:3">
      <c r="A10" s="8" t="s">
        <v>88</v>
      </c>
      <c r="B10" s="9">
        <f t="shared" ref="B10:B13" si="0">B20/$B$19</f>
        <v>80</v>
      </c>
      <c r="C10" s="10" t="s">
        <v>89</v>
      </c>
    </row>
    <row r="11" spans="1:3">
      <c r="A11" s="8" t="s">
        <v>96</v>
      </c>
      <c r="B11" s="9">
        <f t="shared" si="0"/>
        <v>11.58</v>
      </c>
      <c r="C11" s="10" t="s">
        <v>89</v>
      </c>
    </row>
    <row r="12" spans="1:3">
      <c r="A12" s="8" t="s">
        <v>91</v>
      </c>
      <c r="B12" s="9">
        <f t="shared" si="0"/>
        <v>0</v>
      </c>
      <c r="C12" s="10" t="s">
        <v>89</v>
      </c>
    </row>
    <row r="13" spans="1:3">
      <c r="A13" s="8" t="s">
        <v>97</v>
      </c>
      <c r="B13" s="9">
        <f t="shared" si="0"/>
        <v>3.38</v>
      </c>
      <c r="C13" s="10" t="s">
        <v>89</v>
      </c>
    </row>
    <row r="14" spans="1:3">
      <c r="A14" s="8" t="s">
        <v>98</v>
      </c>
      <c r="B14" s="9">
        <f>B10/B11</f>
        <v>6.90846286701209</v>
      </c>
      <c r="C14" s="10" t="s">
        <v>99</v>
      </c>
    </row>
    <row r="15" spans="1:3">
      <c r="A15" s="8" t="s">
        <v>100</v>
      </c>
      <c r="B15" s="9">
        <f>B11/B13</f>
        <v>3.42603550295858</v>
      </c>
      <c r="C15" s="10" t="s">
        <v>99</v>
      </c>
    </row>
    <row r="16" spans="1:3">
      <c r="A16" s="8" t="s">
        <v>101</v>
      </c>
      <c r="B16" s="11"/>
      <c r="C16" s="10" t="s">
        <v>93</v>
      </c>
    </row>
    <row r="17" customFormat="true"/>
    <row r="18" spans="1:3">
      <c r="A18" s="12" t="s">
        <v>102</v>
      </c>
      <c r="B18" s="2"/>
      <c r="C18" s="2"/>
    </row>
    <row r="19" spans="1:4">
      <c r="A19" s="13" t="s">
        <v>103</v>
      </c>
      <c r="B19" s="14">
        <f>1/20</f>
        <v>0.05</v>
      </c>
      <c r="C19" s="15" t="s">
        <v>99</v>
      </c>
      <c r="D19">
        <f>1/B19</f>
        <v>20</v>
      </c>
    </row>
    <row r="20" spans="1:3">
      <c r="A20" s="13" t="s">
        <v>88</v>
      </c>
      <c r="B20" s="16">
        <v>4</v>
      </c>
      <c r="C20" s="15" t="s">
        <v>89</v>
      </c>
    </row>
    <row r="21" spans="1:3">
      <c r="A21" s="13" t="s">
        <v>96</v>
      </c>
      <c r="B21" s="16">
        <v>0.579</v>
      </c>
      <c r="C21" s="15" t="s">
        <v>89</v>
      </c>
    </row>
    <row r="22" spans="1:3">
      <c r="A22" s="13" t="s">
        <v>91</v>
      </c>
      <c r="B22" s="16"/>
      <c r="C22" s="15" t="s">
        <v>89</v>
      </c>
    </row>
    <row r="23" spans="1:3">
      <c r="A23" s="13" t="s">
        <v>97</v>
      </c>
      <c r="B23" s="16">
        <v>0.169</v>
      </c>
      <c r="C23" s="15" t="s">
        <v>89</v>
      </c>
    </row>
    <row r="24" spans="1:3">
      <c r="A24" s="13" t="s">
        <v>3</v>
      </c>
      <c r="B24" s="16">
        <f>2*PI()/B26</f>
        <v>1.38616899484001</v>
      </c>
      <c r="C24" s="15" t="s">
        <v>104</v>
      </c>
    </row>
    <row r="25" spans="1:3">
      <c r="A25" s="13" t="s">
        <v>4</v>
      </c>
      <c r="B25" s="16">
        <f>B29*B28</f>
        <v>0.0477464829275686</v>
      </c>
      <c r="C25" s="15" t="s">
        <v>89</v>
      </c>
    </row>
    <row r="26" spans="1:3">
      <c r="A26" s="13" t="s">
        <v>105</v>
      </c>
      <c r="B26" s="16">
        <f>SQRT(B27*9.81*TANH(B27*B5))</f>
        <v>4.53277005225816</v>
      </c>
      <c r="C26" s="15" t="s">
        <v>106</v>
      </c>
    </row>
    <row r="27" spans="1:3">
      <c r="A27" s="13" t="s">
        <v>107</v>
      </c>
      <c r="B27" s="16">
        <f>2*PI()/B28</f>
        <v>2.0943951023932</v>
      </c>
      <c r="C27" s="15" t="s">
        <v>108</v>
      </c>
    </row>
    <row r="28" spans="1:3">
      <c r="A28" s="13" t="s">
        <v>109</v>
      </c>
      <c r="B28" s="16">
        <f>0.75*B20</f>
        <v>3</v>
      </c>
      <c r="C28" s="15" t="s">
        <v>89</v>
      </c>
    </row>
    <row r="29" spans="1:3">
      <c r="A29" s="13" t="s">
        <v>110</v>
      </c>
      <c r="B29" s="16">
        <f>0.1/(2*PI())</f>
        <v>0.0159154943091895</v>
      </c>
      <c r="C29" s="15" t="s">
        <v>99</v>
      </c>
    </row>
    <row r="30" spans="1:3">
      <c r="A30" s="13" t="s">
        <v>111</v>
      </c>
      <c r="B30" s="16">
        <f>B5/B28</f>
        <v>1.2</v>
      </c>
      <c r="C30" s="15" t="s">
        <v>112</v>
      </c>
    </row>
    <row r="31" spans="1:1">
      <c r="A31" s="12" t="s">
        <v>102</v>
      </c>
    </row>
    <row r="32" spans="1:3">
      <c r="A32" s="13" t="s">
        <v>3</v>
      </c>
      <c r="B32" s="16">
        <f>2*PI()/B34</f>
        <v>1.96199085457113</v>
      </c>
      <c r="C32" s="15" t="s">
        <v>104</v>
      </c>
    </row>
    <row r="33" spans="1:3">
      <c r="A33" s="13" t="s">
        <v>4</v>
      </c>
      <c r="B33" s="16">
        <f>B37*B36</f>
        <v>0.119366207318922</v>
      </c>
      <c r="C33" s="15" t="s">
        <v>89</v>
      </c>
    </row>
    <row r="34" spans="1:3">
      <c r="A34" s="13" t="s">
        <v>105</v>
      </c>
      <c r="B34" s="16">
        <f>SQRT(B35*9.81*TANH(B35*B13))</f>
        <v>3.20245392201537</v>
      </c>
      <c r="C34" s="15" t="s">
        <v>106</v>
      </c>
    </row>
    <row r="35" spans="1:3">
      <c r="A35" s="13" t="s">
        <v>107</v>
      </c>
      <c r="B35" s="16">
        <f>2*PI()/B36</f>
        <v>1.0471975511966</v>
      </c>
      <c r="C35" s="15" t="s">
        <v>108</v>
      </c>
    </row>
    <row r="36" spans="1:3">
      <c r="A36" s="13" t="s">
        <v>109</v>
      </c>
      <c r="B36" s="16">
        <f>1.5*B20</f>
        <v>6</v>
      </c>
      <c r="C36" s="15" t="s">
        <v>89</v>
      </c>
    </row>
    <row r="37" spans="1:3">
      <c r="A37" s="13" t="s">
        <v>110</v>
      </c>
      <c r="B37" s="16">
        <f>0.125/(2*PI())</f>
        <v>0.0198943678864869</v>
      </c>
      <c r="C37" s="15" t="s">
        <v>99</v>
      </c>
    </row>
    <row r="38" spans="1:3">
      <c r="A38" s="13" t="s">
        <v>111</v>
      </c>
      <c r="B38" s="16">
        <f>B5/B36</f>
        <v>0.6</v>
      </c>
      <c r="C38" s="15" t="s">
        <v>112</v>
      </c>
    </row>
    <row r="39" customFormat="true"/>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77</v>
      </c>
      <c r="C45" s="20"/>
    </row>
    <row r="46" spans="1:3">
      <c r="A46" s="18" t="s">
        <v>2</v>
      </c>
      <c r="B46" s="19" t="s">
        <v>78</v>
      </c>
      <c r="C46" s="20"/>
    </row>
  </sheetData>
  <conditionalFormatting sqref="B22">
    <cfRule type="cellIs" dxfId="0" priority="7" operator="greaterThan">
      <formula>$C$6/2.5</formula>
    </cfRule>
  </conditionalFormatting>
  <conditionalFormatting sqref="B30">
    <cfRule type="cellIs" dxfId="1" priority="4" operator="between">
      <formula>0.5</formula>
      <formula>0.05</formula>
    </cfRule>
    <cfRule type="cellIs" dxfId="2" priority="3" operator="lessThan">
      <formula>0.5</formula>
    </cfRule>
  </conditionalFormatting>
  <conditionalFormatting sqref="B38">
    <cfRule type="cellIs" dxfId="1" priority="2" operator="between">
      <formula>0.5</formula>
      <formula>0.05</formula>
    </cfRule>
    <cfRule type="cellIs" dxfId="2" priority="1" operator="lessThan">
      <formula>0.5</formula>
    </cfRule>
  </conditionalFormatting>
  <pageMargins left="0.75" right="0.75" top="1" bottom="1" header="0.5" footer="0.5"/>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46"/>
  <sheetViews>
    <sheetView workbookViewId="0">
      <selection activeCell="B47" sqref="B47"/>
    </sheetView>
  </sheetViews>
  <sheetFormatPr defaultColWidth="8.8" defaultRowHeight="15.75" outlineLevelCol="4"/>
  <cols>
    <col min="1" max="1" width="17.1" customWidth="true"/>
    <col min="2" max="2" width="10.6" customWidth="true"/>
  </cols>
  <sheetData>
    <row r="1" customFormat="true" spans="1:5">
      <c r="A1" t="s">
        <v>155</v>
      </c>
      <c r="E1" t="s">
        <v>156</v>
      </c>
    </row>
    <row r="2" spans="1:3">
      <c r="A2" s="1" t="s">
        <v>86</v>
      </c>
      <c r="B2" s="2"/>
      <c r="C2" s="2"/>
    </row>
    <row r="3" spans="1:3">
      <c r="A3" s="3" t="s">
        <v>88</v>
      </c>
      <c r="B3" s="4">
        <v>110</v>
      </c>
      <c r="C3" s="5" t="s">
        <v>89</v>
      </c>
    </row>
    <row r="4" spans="1:3">
      <c r="A4" s="3" t="s">
        <v>90</v>
      </c>
      <c r="B4" s="4">
        <v>8</v>
      </c>
      <c r="C4" s="5" t="s">
        <v>89</v>
      </c>
    </row>
    <row r="5" spans="1:3">
      <c r="A5" s="3" t="s">
        <v>91</v>
      </c>
      <c r="B5" s="4">
        <v>3.5</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f t="shared" ref="B10:B13" si="0">B20/$B$19</f>
        <v>150</v>
      </c>
      <c r="C10" s="10" t="s">
        <v>89</v>
      </c>
    </row>
    <row r="11" spans="1:3">
      <c r="A11" s="8" t="s">
        <v>96</v>
      </c>
      <c r="B11" s="9">
        <f t="shared" si="0"/>
        <v>60</v>
      </c>
      <c r="C11" s="10" t="s">
        <v>89</v>
      </c>
    </row>
    <row r="12" spans="1:3">
      <c r="A12" s="8" t="s">
        <v>91</v>
      </c>
      <c r="B12" s="9">
        <f t="shared" si="0"/>
        <v>30</v>
      </c>
      <c r="C12" s="10" t="s">
        <v>89</v>
      </c>
    </row>
    <row r="13" spans="1:3">
      <c r="A13" s="8" t="s">
        <v>97</v>
      </c>
      <c r="B13" s="9">
        <f t="shared" si="0"/>
        <v>25.5</v>
      </c>
      <c r="C13" s="10" t="s">
        <v>89</v>
      </c>
    </row>
    <row r="14" spans="1:3">
      <c r="A14" s="8" t="s">
        <v>98</v>
      </c>
      <c r="B14" s="9">
        <f>B10/B11</f>
        <v>2.5</v>
      </c>
      <c r="C14" s="10" t="s">
        <v>99</v>
      </c>
    </row>
    <row r="15" spans="1:3">
      <c r="A15" s="8" t="s">
        <v>100</v>
      </c>
      <c r="B15" s="24">
        <f>B11/B13</f>
        <v>2.35294117647059</v>
      </c>
      <c r="C15" s="10" t="s">
        <v>99</v>
      </c>
    </row>
    <row r="16" spans="1:3">
      <c r="A16" s="8" t="s">
        <v>101</v>
      </c>
      <c r="B16" s="11">
        <v>0</v>
      </c>
      <c r="C16" s="10" t="s">
        <v>93</v>
      </c>
    </row>
    <row r="18" spans="1:3">
      <c r="A18" s="12" t="s">
        <v>102</v>
      </c>
      <c r="B18" s="2"/>
      <c r="C18" s="2"/>
    </row>
    <row r="19" spans="1:4">
      <c r="A19" s="13" t="s">
        <v>103</v>
      </c>
      <c r="B19" s="14">
        <v>0.01</v>
      </c>
      <c r="C19" s="15" t="s">
        <v>99</v>
      </c>
      <c r="D19">
        <f>1/B19</f>
        <v>100</v>
      </c>
    </row>
    <row r="20" spans="1:3">
      <c r="A20" s="13" t="s">
        <v>88</v>
      </c>
      <c r="B20" s="16">
        <v>1.5</v>
      </c>
      <c r="C20" s="15" t="s">
        <v>89</v>
      </c>
    </row>
    <row r="21" spans="1:3">
      <c r="A21" s="13" t="s">
        <v>96</v>
      </c>
      <c r="B21" s="16">
        <v>0.6</v>
      </c>
      <c r="C21" s="15" t="s">
        <v>89</v>
      </c>
    </row>
    <row r="22" spans="1:3">
      <c r="A22" s="13" t="s">
        <v>91</v>
      </c>
      <c r="B22" s="16">
        <v>0.3</v>
      </c>
      <c r="C22" s="15" t="s">
        <v>89</v>
      </c>
    </row>
    <row r="23" spans="1:3">
      <c r="A23" s="13" t="s">
        <v>97</v>
      </c>
      <c r="B23" s="16">
        <f>B22-0.045</f>
        <v>0.255</v>
      </c>
      <c r="C23" s="15" t="s">
        <v>89</v>
      </c>
    </row>
    <row r="24" spans="1:3">
      <c r="A24" s="13" t="s">
        <v>3</v>
      </c>
      <c r="B24" s="16">
        <f>2*PI()/B26</f>
        <v>1.20045722824956</v>
      </c>
      <c r="C24" s="15" t="s">
        <v>104</v>
      </c>
    </row>
    <row r="25" spans="1:3">
      <c r="A25" s="13" t="s">
        <v>4</v>
      </c>
      <c r="B25" s="16">
        <f>0.04*B28</f>
        <v>0.09</v>
      </c>
      <c r="C25" s="15" t="s">
        <v>89</v>
      </c>
    </row>
    <row r="26" spans="1:3">
      <c r="A26" s="13" t="s">
        <v>105</v>
      </c>
      <c r="B26" s="16">
        <f>SQRT(B27*9.81*TANH(B27*B5))</f>
        <v>5.23399348125163</v>
      </c>
      <c r="C26" s="15" t="s">
        <v>106</v>
      </c>
    </row>
    <row r="27" spans="1:3">
      <c r="A27" s="13" t="s">
        <v>107</v>
      </c>
      <c r="B27" s="16">
        <f>2*PI()/B28</f>
        <v>2.79252680319093</v>
      </c>
      <c r="C27" s="15" t="s">
        <v>108</v>
      </c>
    </row>
    <row r="28" spans="1:3">
      <c r="A28" s="13" t="s">
        <v>109</v>
      </c>
      <c r="B28" s="16">
        <v>2.25</v>
      </c>
      <c r="C28" s="15" t="s">
        <v>89</v>
      </c>
    </row>
    <row r="29" spans="1:3">
      <c r="A29" s="13" t="s">
        <v>110</v>
      </c>
      <c r="B29" s="16">
        <f>B25/B28</f>
        <v>0.04</v>
      </c>
      <c r="C29" s="15" t="s">
        <v>99</v>
      </c>
    </row>
    <row r="30" spans="1:3">
      <c r="A30" s="13" t="s">
        <v>111</v>
      </c>
      <c r="B30" s="16">
        <f>B5/B28</f>
        <v>1.55555555555556</v>
      </c>
      <c r="C30" s="15" t="s">
        <v>112</v>
      </c>
    </row>
    <row r="31" spans="1:1">
      <c r="A31" s="12" t="s">
        <v>102</v>
      </c>
    </row>
    <row r="32" spans="1:3">
      <c r="A32" s="13" t="s">
        <v>3</v>
      </c>
      <c r="B32" s="16">
        <f>2*PI()/B34</f>
        <v>1.54979610370537</v>
      </c>
      <c r="C32" s="15" t="s">
        <v>104</v>
      </c>
    </row>
    <row r="33" spans="1:3">
      <c r="A33" s="13" t="s">
        <v>4</v>
      </c>
      <c r="B33" s="16">
        <f>0.06*B36</f>
        <v>0.225</v>
      </c>
      <c r="C33" s="15" t="s">
        <v>89</v>
      </c>
    </row>
    <row r="34" spans="1:3">
      <c r="A34" s="13" t="s">
        <v>105</v>
      </c>
      <c r="B34" s="16">
        <f>SQRT(B35*9.81*TANH(B35*B5))</f>
        <v>4.05420125405998</v>
      </c>
      <c r="C34" s="15" t="s">
        <v>106</v>
      </c>
    </row>
    <row r="35" spans="1:3">
      <c r="A35" s="13" t="s">
        <v>107</v>
      </c>
      <c r="B35" s="16">
        <f>2*PI()/B36</f>
        <v>1.67551608191456</v>
      </c>
      <c r="C35" s="15" t="s">
        <v>108</v>
      </c>
    </row>
    <row r="36" spans="1:3">
      <c r="A36" s="13" t="s">
        <v>109</v>
      </c>
      <c r="B36" s="16">
        <v>3.75</v>
      </c>
      <c r="C36" s="15" t="s">
        <v>89</v>
      </c>
    </row>
    <row r="37" spans="1:3">
      <c r="A37" s="13" t="s">
        <v>110</v>
      </c>
      <c r="B37" s="16">
        <f>B33/B36</f>
        <v>0.06</v>
      </c>
      <c r="C37" s="15" t="s">
        <v>99</v>
      </c>
    </row>
    <row r="38" spans="1:3">
      <c r="A38" s="13" t="s">
        <v>111</v>
      </c>
      <c r="B38" s="16">
        <f>B5/B36</f>
        <v>0.933333333333333</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74</v>
      </c>
      <c r="C45" s="20"/>
    </row>
    <row r="46" spans="1:3">
      <c r="A46" s="18" t="s">
        <v>2</v>
      </c>
      <c r="B46" s="19" t="s">
        <v>78</v>
      </c>
      <c r="C46" s="20"/>
    </row>
  </sheetData>
  <conditionalFormatting sqref="B22">
    <cfRule type="cellIs" dxfId="0" priority="7" operator="greaterThan">
      <formula>$C$6/2.5</formula>
    </cfRule>
  </conditionalFormatting>
  <conditionalFormatting sqref="B30">
    <cfRule type="cellIs" dxfId="1" priority="4" operator="between">
      <formula>0.5</formula>
      <formula>0.05</formula>
    </cfRule>
    <cfRule type="cellIs" dxfId="2" priority="3" operator="lessThan">
      <formula>0.5</formula>
    </cfRule>
  </conditionalFormatting>
  <conditionalFormatting sqref="B38">
    <cfRule type="cellIs" dxfId="1" priority="2" operator="between">
      <formula>0.5</formula>
      <formula>0.05</formula>
    </cfRule>
    <cfRule type="cellIs" dxfId="2" priority="1" operator="lessThan">
      <formula>0.5</formula>
    </cfRule>
  </conditionalFormatting>
  <pageMargins left="0.75" right="0.75" top="1" bottom="1" header="0.5" footer="0.5"/>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46"/>
  <sheetViews>
    <sheetView zoomScale="85" zoomScaleNormal="85" workbookViewId="0">
      <selection activeCell="B33" sqref="B33"/>
    </sheetView>
  </sheetViews>
  <sheetFormatPr defaultColWidth="8.8" defaultRowHeight="15.75" outlineLevelCol="5"/>
  <cols>
    <col min="1" max="1" width="17.1" customWidth="true"/>
  </cols>
  <sheetData>
    <row r="1" customFormat="true" spans="1:6">
      <c r="A1" t="s">
        <v>157</v>
      </c>
      <c r="F1" t="s">
        <v>158</v>
      </c>
    </row>
    <row r="2" spans="1:3">
      <c r="A2" s="1" t="s">
        <v>86</v>
      </c>
      <c r="B2" s="2"/>
      <c r="C2" s="2"/>
    </row>
    <row r="3" spans="1:3">
      <c r="A3" s="3" t="s">
        <v>88</v>
      </c>
      <c r="B3" s="4">
        <v>36</v>
      </c>
      <c r="C3" s="5" t="s">
        <v>89</v>
      </c>
    </row>
    <row r="4" spans="1:3">
      <c r="A4" s="3" t="s">
        <v>90</v>
      </c>
      <c r="B4" s="4">
        <v>0.9</v>
      </c>
      <c r="C4" s="5" t="s">
        <v>89</v>
      </c>
    </row>
    <row r="5" spans="1:3">
      <c r="A5" s="3" t="s">
        <v>91</v>
      </c>
      <c r="B5" s="4">
        <v>1.5</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22">
        <f t="shared" ref="B10:B13" si="0">B20/$B$19</f>
        <v>62.53</v>
      </c>
      <c r="C10" s="10" t="s">
        <v>89</v>
      </c>
    </row>
    <row r="11" spans="1:3">
      <c r="A11" s="8" t="s">
        <v>96</v>
      </c>
      <c r="B11" s="22">
        <f t="shared" si="0"/>
        <v>71.7006276123159</v>
      </c>
      <c r="C11" s="10" t="s">
        <v>89</v>
      </c>
    </row>
    <row r="12" spans="1:3">
      <c r="A12" s="8" t="s">
        <v>91</v>
      </c>
      <c r="B12" s="22">
        <f t="shared" si="0"/>
        <v>33.8</v>
      </c>
      <c r="C12" s="10" t="s">
        <v>89</v>
      </c>
    </row>
    <row r="13" spans="1:3">
      <c r="A13" s="8" t="s">
        <v>97</v>
      </c>
      <c r="B13" s="22">
        <f t="shared" si="0"/>
        <v>33.8</v>
      </c>
      <c r="C13" s="10" t="s">
        <v>89</v>
      </c>
    </row>
    <row r="14" spans="1:3">
      <c r="A14" s="8" t="s">
        <v>98</v>
      </c>
      <c r="B14" s="22">
        <f>B10/B11</f>
        <v>0.872098363463409</v>
      </c>
      <c r="C14" s="10" t="s">
        <v>99</v>
      </c>
    </row>
    <row r="15" spans="1:3">
      <c r="A15" s="8" t="s">
        <v>100</v>
      </c>
      <c r="B15" s="22">
        <f>B11/B13</f>
        <v>2.12132034355964</v>
      </c>
      <c r="C15" s="10" t="s">
        <v>99</v>
      </c>
    </row>
    <row r="16" spans="1:3">
      <c r="A16" s="8" t="s">
        <v>101</v>
      </c>
      <c r="B16" s="22">
        <v>0</v>
      </c>
      <c r="C16" s="10" t="s">
        <v>93</v>
      </c>
    </row>
    <row r="17" spans="2:2">
      <c r="B17" s="23"/>
    </row>
    <row r="18" spans="1:3">
      <c r="A18" s="12" t="s">
        <v>102</v>
      </c>
      <c r="B18" s="2"/>
      <c r="C18" s="2"/>
    </row>
    <row r="19" spans="1:4">
      <c r="A19" s="13" t="s">
        <v>103</v>
      </c>
      <c r="B19" s="14">
        <v>0.00591715976331361</v>
      </c>
      <c r="C19" s="15" t="s">
        <v>99</v>
      </c>
      <c r="D19">
        <f>1/B19</f>
        <v>169</v>
      </c>
    </row>
    <row r="20" spans="1:3">
      <c r="A20" s="13" t="s">
        <v>88</v>
      </c>
      <c r="B20" s="16">
        <v>0.37</v>
      </c>
      <c r="C20" s="15" t="s">
        <v>89</v>
      </c>
    </row>
    <row r="21" spans="1:3">
      <c r="A21" s="13" t="s">
        <v>96</v>
      </c>
      <c r="B21" s="16">
        <f>SQRT(2)*0.15*2</f>
        <v>0.424264068711929</v>
      </c>
      <c r="C21" s="15" t="s">
        <v>89</v>
      </c>
    </row>
    <row r="22" spans="1:3">
      <c r="A22" s="13" t="s">
        <v>91</v>
      </c>
      <c r="B22" s="16">
        <v>0.2</v>
      </c>
      <c r="C22" s="15" t="s">
        <v>89</v>
      </c>
    </row>
    <row r="23" spans="1:3">
      <c r="A23" s="13" t="s">
        <v>97</v>
      </c>
      <c r="B23" s="16">
        <v>0.2</v>
      </c>
      <c r="C23" s="15" t="s">
        <v>89</v>
      </c>
    </row>
    <row r="24" spans="1:3">
      <c r="A24" s="13" t="s">
        <v>3</v>
      </c>
      <c r="B24" s="16">
        <f>1/1.3</f>
        <v>0.769230769230769</v>
      </c>
      <c r="C24" s="15" t="s">
        <v>104</v>
      </c>
    </row>
    <row r="25" spans="1:3">
      <c r="A25" s="13" t="s">
        <v>4</v>
      </c>
      <c r="B25" s="16">
        <f>27.7*B19</f>
        <v>0.163905325443787</v>
      </c>
      <c r="C25" s="15" t="s">
        <v>89</v>
      </c>
    </row>
    <row r="26" spans="1:3">
      <c r="A26" s="13" t="s">
        <v>105</v>
      </c>
      <c r="B26" s="16">
        <f>2*PI()/B24</f>
        <v>8.16814089933346</v>
      </c>
      <c r="C26" s="15" t="s">
        <v>106</v>
      </c>
    </row>
    <row r="27" spans="1:3">
      <c r="A27" s="13" t="s">
        <v>107</v>
      </c>
      <c r="B27" s="16">
        <f>(B26^2)/(9.81*TANH((B26^2)*B5/9.81))</f>
        <v>6.80107298013584</v>
      </c>
      <c r="C27" s="15" t="s">
        <v>108</v>
      </c>
    </row>
    <row r="28" spans="1:3">
      <c r="A28" s="13" t="s">
        <v>109</v>
      </c>
      <c r="B28" s="16">
        <f>2*PI()/B27</f>
        <v>0.923852063568666</v>
      </c>
      <c r="C28" s="15" t="s">
        <v>89</v>
      </c>
    </row>
    <row r="29" spans="1:3">
      <c r="A29" s="13" t="s">
        <v>110</v>
      </c>
      <c r="B29" s="16">
        <f>B25/B28</f>
        <v>0.177415120783139</v>
      </c>
      <c r="C29" s="15" t="s">
        <v>99</v>
      </c>
    </row>
    <row r="30" spans="1:3">
      <c r="A30" s="13" t="s">
        <v>111</v>
      </c>
      <c r="B30" s="16">
        <f>B5/B28</f>
        <v>1.62363657467602</v>
      </c>
      <c r="C30" s="15" t="s">
        <v>112</v>
      </c>
    </row>
    <row r="31" spans="1:1">
      <c r="A31" s="12" t="s">
        <v>102</v>
      </c>
    </row>
    <row r="32" spans="1:3">
      <c r="A32" s="13" t="s">
        <v>3</v>
      </c>
      <c r="B32" s="16">
        <f>1/0.7</f>
        <v>1.42857142857143</v>
      </c>
      <c r="C32" s="15" t="s">
        <v>104</v>
      </c>
    </row>
    <row r="33" spans="1:3">
      <c r="A33" s="13" t="s">
        <v>4</v>
      </c>
      <c r="B33" s="16">
        <v>0.17</v>
      </c>
      <c r="C33" s="15" t="s">
        <v>89</v>
      </c>
    </row>
    <row r="34" spans="1:3">
      <c r="A34" s="13" t="s">
        <v>105</v>
      </c>
      <c r="B34" s="16">
        <f>2*PI()/B32</f>
        <v>4.39822971502571</v>
      </c>
      <c r="C34" s="15" t="s">
        <v>106</v>
      </c>
    </row>
    <row r="35" spans="1:3">
      <c r="A35" s="13" t="s">
        <v>107</v>
      </c>
      <c r="B35" s="16">
        <f>(B34^2)/(9.81*TANH((B34^2)*B5/9.81))</f>
        <v>1.98257278183931</v>
      </c>
      <c r="C35" s="15" t="s">
        <v>108</v>
      </c>
    </row>
    <row r="36" spans="1:3">
      <c r="A36" s="13" t="s">
        <v>109</v>
      </c>
      <c r="B36" s="16">
        <f>2*PI()/B35</f>
        <v>3.16920789225727</v>
      </c>
      <c r="C36" s="15" t="s">
        <v>89</v>
      </c>
    </row>
    <row r="37" spans="1:3">
      <c r="A37" s="13" t="s">
        <v>110</v>
      </c>
      <c r="B37" s="16">
        <f>B33/B36</f>
        <v>0.0536411639057598</v>
      </c>
      <c r="C37" s="15" t="s">
        <v>99</v>
      </c>
    </row>
    <row r="38" spans="1:3">
      <c r="A38" s="13" t="s">
        <v>111</v>
      </c>
      <c r="B38" s="16">
        <f>B5/B36</f>
        <v>0.473304387403763</v>
      </c>
      <c r="C38" s="15" t="s">
        <v>112</v>
      </c>
    </row>
    <row r="40" spans="1:1">
      <c r="A40" s="17" t="s">
        <v>113</v>
      </c>
    </row>
    <row r="41" spans="1:3">
      <c r="A41" s="18" t="s">
        <v>159</v>
      </c>
      <c r="B41" s="19"/>
      <c r="C41" s="20"/>
    </row>
    <row r="42" spans="1:3">
      <c r="A42" s="18" t="s">
        <v>160</v>
      </c>
      <c r="B42" s="19"/>
      <c r="C42" s="20"/>
    </row>
    <row r="43" spans="1:3">
      <c r="A43" s="18"/>
      <c r="B43" s="19"/>
      <c r="C43" s="20"/>
    </row>
    <row r="44" spans="1:3">
      <c r="A44" s="18"/>
      <c r="B44" s="19"/>
      <c r="C44" s="20"/>
    </row>
    <row r="45" spans="1:3">
      <c r="A45" s="18" t="s">
        <v>117</v>
      </c>
      <c r="B45" s="19" t="s">
        <v>74</v>
      </c>
      <c r="C45" s="20"/>
    </row>
    <row r="46" spans="1:3">
      <c r="A46" s="18" t="s">
        <v>2</v>
      </c>
      <c r="B46" s="19" t="s">
        <v>81</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70" zoomScaleNormal="70" workbookViewId="0">
      <selection activeCell="L74" sqref="L74"/>
    </sheetView>
  </sheetViews>
  <sheetFormatPr defaultColWidth="8.8" defaultRowHeight="15.75" outlineLevelCol="3"/>
  <cols>
    <col min="1" max="1" width="17.1" customWidth="true"/>
  </cols>
  <sheetData>
    <row r="1" customFormat="true" spans="1:4">
      <c r="A1" t="s">
        <v>161</v>
      </c>
      <c r="D1" t="s">
        <v>162</v>
      </c>
    </row>
    <row r="2" spans="1:3">
      <c r="A2" s="1" t="s">
        <v>86</v>
      </c>
      <c r="B2" s="2"/>
      <c r="C2" s="2"/>
    </row>
    <row r="3" spans="1:3">
      <c r="A3" s="3" t="s">
        <v>88</v>
      </c>
      <c r="B3" s="4"/>
      <c r="C3" s="5" t="s">
        <v>89</v>
      </c>
    </row>
    <row r="4" spans="1:3">
      <c r="A4" s="3" t="s">
        <v>90</v>
      </c>
      <c r="B4" s="4"/>
      <c r="C4" s="5" t="s">
        <v>89</v>
      </c>
    </row>
    <row r="5" spans="1:3">
      <c r="A5" s="3" t="s">
        <v>91</v>
      </c>
      <c r="B5" s="4"/>
      <c r="C5" s="5" t="s">
        <v>89</v>
      </c>
    </row>
    <row r="6" spans="1:3">
      <c r="A6" s="3" t="s">
        <v>92</v>
      </c>
      <c r="B6" s="4"/>
      <c r="C6" s="5" t="s">
        <v>93</v>
      </c>
    </row>
    <row r="7" spans="1:3">
      <c r="A7" s="3" t="s">
        <v>94</v>
      </c>
      <c r="B7" s="4"/>
      <c r="C7" s="5" t="s">
        <v>93</v>
      </c>
    </row>
    <row r="8" spans="1:3">
      <c r="A8" s="2"/>
      <c r="B8" s="2"/>
      <c r="C8" s="2"/>
    </row>
    <row r="9" spans="1:3">
      <c r="A9" s="6" t="s">
        <v>95</v>
      </c>
      <c r="B9" s="7"/>
      <c r="C9" s="7"/>
    </row>
    <row r="10" spans="1:3">
      <c r="A10" s="8" t="s">
        <v>88</v>
      </c>
      <c r="B10" s="9">
        <v>45</v>
      </c>
      <c r="C10" s="10" t="s">
        <v>89</v>
      </c>
    </row>
    <row r="11" spans="1:3">
      <c r="A11" s="8" t="s">
        <v>96</v>
      </c>
      <c r="B11" s="9">
        <v>47</v>
      </c>
      <c r="C11" s="10" t="s">
        <v>89</v>
      </c>
    </row>
    <row r="12" spans="1:3">
      <c r="A12" s="8" t="s">
        <v>91</v>
      </c>
      <c r="B12" s="9" t="e">
        <f t="shared" ref="B10:B13" si="0">B22/$B$19</f>
        <v>#DIV/0!</v>
      </c>
      <c r="C12" s="10" t="s">
        <v>89</v>
      </c>
    </row>
    <row r="13" spans="1:3">
      <c r="A13" s="8" t="s">
        <v>97</v>
      </c>
      <c r="B13" s="9" t="e">
        <f t="shared" si="0"/>
        <v>#DIV/0!</v>
      </c>
      <c r="C13" s="10" t="s">
        <v>89</v>
      </c>
    </row>
    <row r="14" spans="1:3">
      <c r="A14" s="8" t="s">
        <v>98</v>
      </c>
      <c r="B14" s="9">
        <f>B10/B11</f>
        <v>0.957446808510638</v>
      </c>
      <c r="C14" s="10" t="s">
        <v>99</v>
      </c>
    </row>
    <row r="15" spans="1:3">
      <c r="A15" s="8" t="s">
        <v>100</v>
      </c>
      <c r="B15" s="9" t="e">
        <f>B11/B13</f>
        <v>#DIV/0!</v>
      </c>
      <c r="C15" s="10" t="s">
        <v>99</v>
      </c>
    </row>
    <row r="16" spans="1:3">
      <c r="A16" s="8" t="s">
        <v>101</v>
      </c>
      <c r="B16" s="11"/>
      <c r="C16" s="10" t="s">
        <v>93</v>
      </c>
    </row>
    <row r="18" spans="1:3">
      <c r="A18" s="12" t="s">
        <v>102</v>
      </c>
      <c r="B18" s="2"/>
      <c r="C18" s="2"/>
    </row>
    <row r="19" spans="1:4">
      <c r="A19" s="13" t="s">
        <v>103</v>
      </c>
      <c r="B19" s="14"/>
      <c r="C19" s="15" t="s">
        <v>99</v>
      </c>
      <c r="D19" t="e">
        <f>1/B19</f>
        <v>#DIV/0!</v>
      </c>
    </row>
    <row r="20" spans="1:3">
      <c r="A20" s="13" t="s">
        <v>88</v>
      </c>
      <c r="B20" s="16"/>
      <c r="C20" s="15" t="s">
        <v>89</v>
      </c>
    </row>
    <row r="21" spans="1:3">
      <c r="A21" s="13" t="s">
        <v>96</v>
      </c>
      <c r="B21" s="16"/>
      <c r="C21" s="15" t="s">
        <v>89</v>
      </c>
    </row>
    <row r="22" spans="1:3">
      <c r="A22" s="13" t="s">
        <v>91</v>
      </c>
      <c r="B22" s="16"/>
      <c r="C22" s="15" t="s">
        <v>89</v>
      </c>
    </row>
    <row r="23" spans="1:3">
      <c r="A23" s="13" t="s">
        <v>97</v>
      </c>
      <c r="B23" s="16"/>
      <c r="C23" s="15" t="s">
        <v>89</v>
      </c>
    </row>
    <row r="24" spans="1:3">
      <c r="A24" s="13" t="s">
        <v>3</v>
      </c>
      <c r="B24" s="16"/>
      <c r="C24" s="15" t="s">
        <v>104</v>
      </c>
    </row>
    <row r="25" spans="1:3">
      <c r="A25" s="13" t="s">
        <v>4</v>
      </c>
      <c r="B25" s="16"/>
      <c r="C25" s="15" t="s">
        <v>89</v>
      </c>
    </row>
    <row r="26" spans="1:3">
      <c r="A26" s="13" t="s">
        <v>105</v>
      </c>
      <c r="B26" s="16" t="e">
        <f>2*PI()/B24</f>
        <v>#DIV/0!</v>
      </c>
      <c r="C26" s="15" t="s">
        <v>106</v>
      </c>
    </row>
    <row r="27" spans="1:3">
      <c r="A27" s="13" t="s">
        <v>107</v>
      </c>
      <c r="B27" s="16" t="e">
        <f>(B26^2)/(9.81*TANH((B26^2)*B5/9.81))</f>
        <v>#DIV/0!</v>
      </c>
      <c r="C27" s="15" t="s">
        <v>108</v>
      </c>
    </row>
    <row r="28" spans="1:3">
      <c r="A28" s="13" t="s">
        <v>109</v>
      </c>
      <c r="B28" s="16" t="e">
        <f>2*PI()/B27</f>
        <v>#DIV/0!</v>
      </c>
      <c r="C28" s="15" t="s">
        <v>89</v>
      </c>
    </row>
    <row r="29" spans="1:3">
      <c r="A29" s="13" t="s">
        <v>110</v>
      </c>
      <c r="B29" s="16" t="e">
        <f>B25/B28</f>
        <v>#DIV/0!</v>
      </c>
      <c r="C29" s="15" t="s">
        <v>99</v>
      </c>
    </row>
    <row r="30" spans="1:3">
      <c r="A30" s="13" t="s">
        <v>111</v>
      </c>
      <c r="B30" s="16" t="e">
        <f>B5/B28</f>
        <v>#DIV/0!</v>
      </c>
      <c r="C30" s="15" t="s">
        <v>112</v>
      </c>
    </row>
    <row r="31" spans="1:1">
      <c r="A31" s="12" t="s">
        <v>102</v>
      </c>
    </row>
    <row r="32" spans="1:3">
      <c r="A32" s="13" t="s">
        <v>3</v>
      </c>
      <c r="B32" s="16"/>
      <c r="C32" s="15" t="s">
        <v>104</v>
      </c>
    </row>
    <row r="33" spans="1:3">
      <c r="A33" s="13" t="s">
        <v>4</v>
      </c>
      <c r="B33" s="16"/>
      <c r="C33" s="15" t="s">
        <v>89</v>
      </c>
    </row>
    <row r="34" spans="1:3">
      <c r="A34" s="13" t="s">
        <v>105</v>
      </c>
      <c r="B34" s="16" t="e">
        <f>2*PI()/B32</f>
        <v>#DIV/0!</v>
      </c>
      <c r="C34" s="15" t="s">
        <v>106</v>
      </c>
    </row>
    <row r="35" spans="1:3">
      <c r="A35" s="13" t="s">
        <v>107</v>
      </c>
      <c r="B35" s="16" t="e">
        <f>(B34^2)/(9.81*TANH((B34^2)*B17/9.81))</f>
        <v>#DIV/0!</v>
      </c>
      <c r="C35" s="15" t="s">
        <v>108</v>
      </c>
    </row>
    <row r="36" spans="1:3">
      <c r="A36" s="13" t="s">
        <v>109</v>
      </c>
      <c r="B36" s="16" t="e">
        <f>2*PI()/B35</f>
        <v>#DIV/0!</v>
      </c>
      <c r="C36" s="15" t="s">
        <v>89</v>
      </c>
    </row>
    <row r="37" spans="1:3">
      <c r="A37" s="13" t="s">
        <v>110</v>
      </c>
      <c r="B37" s="16" t="e">
        <f>B33/B36</f>
        <v>#DIV/0!</v>
      </c>
      <c r="C37" s="15" t="s">
        <v>99</v>
      </c>
    </row>
    <row r="38" spans="1:3">
      <c r="A38" s="13" t="s">
        <v>111</v>
      </c>
      <c r="B38" s="16" t="e">
        <f>B17/B36</f>
        <v>#DIV/0!</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77</v>
      </c>
      <c r="C45" s="20"/>
    </row>
    <row r="46" spans="1:3">
      <c r="A46" s="18" t="s">
        <v>2</v>
      </c>
      <c r="B46" s="19" t="s">
        <v>163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46"/>
  <sheetViews>
    <sheetView workbookViewId="0">
      <selection activeCell="B47" sqref="B47"/>
    </sheetView>
  </sheetViews>
  <sheetFormatPr defaultColWidth="8.8" defaultRowHeight="15.75" outlineLevelCol="6"/>
  <cols>
    <col min="1" max="1" width="17.1" customWidth="true"/>
  </cols>
  <sheetData>
    <row r="1" customFormat="true" spans="1:7">
      <c r="A1" t="s">
        <v>164</v>
      </c>
      <c r="G1" t="s">
        <v>165</v>
      </c>
    </row>
    <row r="2" spans="1:3">
      <c r="A2" s="1" t="s">
        <v>86</v>
      </c>
      <c r="B2" s="2"/>
      <c r="C2" s="2"/>
    </row>
    <row r="3" spans="1:3">
      <c r="A3" s="3" t="s">
        <v>88</v>
      </c>
      <c r="B3" s="4">
        <v>45.7</v>
      </c>
      <c r="C3" s="5" t="s">
        <v>89</v>
      </c>
    </row>
    <row r="4" spans="1:3">
      <c r="A4" s="3" t="s">
        <v>90</v>
      </c>
      <c r="B4" s="4">
        <v>30.5</v>
      </c>
      <c r="C4" s="5" t="s">
        <v>89</v>
      </c>
    </row>
    <row r="5" spans="1:3">
      <c r="A5" s="3" t="s">
        <v>91</v>
      </c>
      <c r="B5" s="4">
        <v>5.8</v>
      </c>
      <c r="C5" s="5" t="s">
        <v>89</v>
      </c>
    </row>
    <row r="6" spans="1:3">
      <c r="A6" s="3" t="s">
        <v>92</v>
      </c>
      <c r="B6" s="4"/>
      <c r="C6" s="5" t="s">
        <v>93</v>
      </c>
    </row>
    <row r="7" spans="1:3">
      <c r="A7" s="3" t="s">
        <v>94</v>
      </c>
      <c r="B7" s="4"/>
      <c r="C7" s="5" t="s">
        <v>93</v>
      </c>
    </row>
    <row r="8" spans="1:3">
      <c r="A8" s="2"/>
      <c r="B8" s="2"/>
      <c r="C8" s="2"/>
    </row>
    <row r="9" spans="1:3">
      <c r="A9" s="6" t="s">
        <v>95</v>
      </c>
      <c r="B9" s="7"/>
      <c r="C9" s="7"/>
    </row>
    <row r="10" spans="1:3">
      <c r="A10" s="8" t="s">
        <v>88</v>
      </c>
      <c r="B10" s="9" t="e">
        <f t="shared" ref="B10:B13" si="0">B20/$B$19</f>
        <v>#DIV/0!</v>
      </c>
      <c r="C10" s="10" t="s">
        <v>89</v>
      </c>
    </row>
    <row r="11" spans="1:3">
      <c r="A11" s="8" t="s">
        <v>96</v>
      </c>
      <c r="B11" s="9" t="e">
        <f t="shared" si="0"/>
        <v>#DIV/0!</v>
      </c>
      <c r="C11" s="10" t="s">
        <v>89</v>
      </c>
    </row>
    <row r="12" spans="1:3">
      <c r="A12" s="8" t="s">
        <v>91</v>
      </c>
      <c r="B12" s="9" t="e">
        <f t="shared" si="0"/>
        <v>#DIV/0!</v>
      </c>
      <c r="C12" s="10" t="s">
        <v>89</v>
      </c>
    </row>
    <row r="13" spans="1:3">
      <c r="A13" s="8" t="s">
        <v>97</v>
      </c>
      <c r="B13" s="9" t="e">
        <f t="shared" si="0"/>
        <v>#DIV/0!</v>
      </c>
      <c r="C13" s="10" t="s">
        <v>89</v>
      </c>
    </row>
    <row r="14" spans="1:3">
      <c r="A14" s="8" t="s">
        <v>98</v>
      </c>
      <c r="B14" s="9" t="e">
        <f>B10/B11</f>
        <v>#DIV/0!</v>
      </c>
      <c r="C14" s="10" t="s">
        <v>99</v>
      </c>
    </row>
    <row r="15" spans="1:3">
      <c r="A15" s="8" t="s">
        <v>100</v>
      </c>
      <c r="B15" s="9" t="e">
        <f>B11/B13</f>
        <v>#DIV/0!</v>
      </c>
      <c r="C15" s="10" t="s">
        <v>99</v>
      </c>
    </row>
    <row r="16" spans="1:3">
      <c r="A16" s="8" t="s">
        <v>101</v>
      </c>
      <c r="B16" s="11"/>
      <c r="C16" s="10" t="s">
        <v>93</v>
      </c>
    </row>
    <row r="18" spans="1:3">
      <c r="A18" s="12" t="s">
        <v>102</v>
      </c>
      <c r="B18" s="2"/>
      <c r="C18" s="2"/>
    </row>
    <row r="19" spans="1:4">
      <c r="A19" s="13" t="s">
        <v>103</v>
      </c>
      <c r="B19" s="14"/>
      <c r="C19" s="15" t="s">
        <v>99</v>
      </c>
      <c r="D19" t="e">
        <f>1/B19</f>
        <v>#DIV/0!</v>
      </c>
    </row>
    <row r="20" spans="1:3">
      <c r="A20" s="13" t="s">
        <v>88</v>
      </c>
      <c r="B20" s="16">
        <v>0.74</v>
      </c>
      <c r="C20" s="15" t="s">
        <v>89</v>
      </c>
    </row>
    <row r="21" spans="1:3">
      <c r="A21" s="13" t="s">
        <v>96</v>
      </c>
      <c r="B21" s="16">
        <v>0.74</v>
      </c>
      <c r="C21" s="15" t="s">
        <v>89</v>
      </c>
    </row>
    <row r="22" spans="1:3">
      <c r="A22" s="13" t="s">
        <v>91</v>
      </c>
      <c r="B22" s="16">
        <v>0.1</v>
      </c>
      <c r="C22" s="15" t="s">
        <v>89</v>
      </c>
    </row>
    <row r="23" spans="1:3">
      <c r="A23" s="13" t="s">
        <v>97</v>
      </c>
      <c r="B23" s="16">
        <v>0</v>
      </c>
      <c r="C23" s="15" t="s">
        <v>89</v>
      </c>
    </row>
    <row r="24" spans="1:3">
      <c r="A24" s="13" t="s">
        <v>3</v>
      </c>
      <c r="B24" s="16">
        <v>1.65</v>
      </c>
      <c r="C24" s="15" t="s">
        <v>104</v>
      </c>
    </row>
    <row r="25" spans="1:3">
      <c r="A25" s="13" t="s">
        <v>4</v>
      </c>
      <c r="B25" s="16">
        <v>0.33</v>
      </c>
      <c r="C25" s="15" t="s">
        <v>89</v>
      </c>
    </row>
    <row r="26" spans="1:3">
      <c r="A26" s="13" t="s">
        <v>105</v>
      </c>
      <c r="B26" s="16">
        <f>2*PI()/B24</f>
        <v>3.80799109526036</v>
      </c>
      <c r="C26" s="15" t="s">
        <v>106</v>
      </c>
    </row>
    <row r="27" spans="1:3">
      <c r="A27" s="13" t="s">
        <v>107</v>
      </c>
      <c r="B27" s="16">
        <f>(B26^2)/(9.81*TANH((B26^2)*B5/9.81))</f>
        <v>1.47816485406664</v>
      </c>
      <c r="C27" s="15" t="s">
        <v>108</v>
      </c>
    </row>
    <row r="28" spans="1:3">
      <c r="A28" s="13" t="s">
        <v>109</v>
      </c>
      <c r="B28" s="16">
        <f>2*PI()/B27</f>
        <v>4.25066614856499</v>
      </c>
      <c r="C28" s="15" t="s">
        <v>89</v>
      </c>
    </row>
    <row r="29" spans="1:3">
      <c r="A29" s="13" t="s">
        <v>110</v>
      </c>
      <c r="B29" s="16">
        <f>B25/B28</f>
        <v>0.0776348902657075</v>
      </c>
      <c r="C29" s="15" t="s">
        <v>99</v>
      </c>
    </row>
    <row r="30" spans="1:3">
      <c r="A30" s="13" t="s">
        <v>111</v>
      </c>
      <c r="B30" s="16">
        <f>B5/B28</f>
        <v>1.36449201073062</v>
      </c>
      <c r="C30" s="15" t="s">
        <v>112</v>
      </c>
    </row>
    <row r="31" spans="1:1">
      <c r="A31" s="12" t="s">
        <v>102</v>
      </c>
    </row>
    <row r="32" spans="1:3">
      <c r="A32" s="13" t="s">
        <v>3</v>
      </c>
      <c r="B32" s="16"/>
      <c r="C32" s="15" t="s">
        <v>104</v>
      </c>
    </row>
    <row r="33" spans="1:3">
      <c r="A33" s="13" t="s">
        <v>4</v>
      </c>
      <c r="B33" s="16"/>
      <c r="C33" s="15" t="s">
        <v>89</v>
      </c>
    </row>
    <row r="34" spans="1:3">
      <c r="A34" s="13" t="s">
        <v>105</v>
      </c>
      <c r="B34" s="16" t="e">
        <f>2*PI()/B32</f>
        <v>#DIV/0!</v>
      </c>
      <c r="C34" s="15" t="s">
        <v>106</v>
      </c>
    </row>
    <row r="35" spans="1:3">
      <c r="A35" s="13" t="s">
        <v>107</v>
      </c>
      <c r="B35" s="16" t="e">
        <f>(B34^2)/(9.81*TANH((B34^2)*B17/9.81))</f>
        <v>#DIV/0!</v>
      </c>
      <c r="C35" s="15" t="s">
        <v>108</v>
      </c>
    </row>
    <row r="36" spans="1:3">
      <c r="A36" s="13" t="s">
        <v>109</v>
      </c>
      <c r="B36" s="16" t="e">
        <f>2*PI()/B35</f>
        <v>#DIV/0!</v>
      </c>
      <c r="C36" s="15" t="s">
        <v>89</v>
      </c>
    </row>
    <row r="37" spans="1:3">
      <c r="A37" s="13" t="s">
        <v>110</v>
      </c>
      <c r="B37" s="16" t="e">
        <f>B33/B36</f>
        <v>#DIV/0!</v>
      </c>
      <c r="C37" s="15" t="s">
        <v>99</v>
      </c>
    </row>
    <row r="38" spans="1:3">
      <c r="A38" s="13" t="s">
        <v>111</v>
      </c>
      <c r="B38" s="16" t="e">
        <f>B17/B36</f>
        <v>#DIV/0!</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74</v>
      </c>
      <c r="C45" s="20"/>
    </row>
    <row r="46" spans="1:3">
      <c r="A46" s="18" t="s">
        <v>2</v>
      </c>
      <c r="B46" s="19" t="s">
        <v>81</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17" workbookViewId="0">
      <selection activeCell="B29" sqref="B29"/>
    </sheetView>
  </sheetViews>
  <sheetFormatPr defaultColWidth="8.8" defaultRowHeight="15.75" outlineLevelCol="3"/>
  <cols>
    <col min="1" max="1" width="17.1" customWidth="true"/>
    <col min="2" max="2" width="10.5" customWidth="true"/>
  </cols>
  <sheetData>
    <row r="1" customFormat="true" spans="1:2">
      <c r="A1" t="s">
        <v>84</v>
      </c>
      <c r="B1" t="s">
        <v>85</v>
      </c>
    </row>
    <row r="2" spans="1:3">
      <c r="A2" s="1" t="s">
        <v>86</v>
      </c>
      <c r="B2" s="2" t="s">
        <v>87</v>
      </c>
      <c r="C2" s="2"/>
    </row>
    <row r="3" spans="1:3">
      <c r="A3" s="3" t="s">
        <v>88</v>
      </c>
      <c r="B3" s="4"/>
      <c r="C3" s="5" t="s">
        <v>89</v>
      </c>
    </row>
    <row r="4" spans="1:3">
      <c r="A4" s="3" t="s">
        <v>90</v>
      </c>
      <c r="B4" s="4"/>
      <c r="C4" s="5" t="s">
        <v>89</v>
      </c>
    </row>
    <row r="5" spans="1:3">
      <c r="A5" s="3" t="s">
        <v>91</v>
      </c>
      <c r="B5" s="4">
        <v>3</v>
      </c>
      <c r="C5" s="5" t="s">
        <v>89</v>
      </c>
    </row>
    <row r="6" spans="1:3">
      <c r="A6" s="3" t="s">
        <v>92</v>
      </c>
      <c r="B6" s="4">
        <f>B7</f>
        <v>0.258198889747161</v>
      </c>
      <c r="C6" s="5" t="s">
        <v>93</v>
      </c>
    </row>
    <row r="7" spans="1:3">
      <c r="A7" s="3" t="s">
        <v>94</v>
      </c>
      <c r="B7" s="28">
        <f>B16*SQRT(B19)</f>
        <v>0.258198889747161</v>
      </c>
      <c r="C7" s="5" t="s">
        <v>93</v>
      </c>
    </row>
    <row r="8" spans="1:3">
      <c r="A8" s="2"/>
      <c r="B8" s="2"/>
      <c r="C8" s="2"/>
    </row>
    <row r="9" spans="1:3">
      <c r="A9" s="6" t="s">
        <v>95</v>
      </c>
      <c r="B9" s="7"/>
      <c r="C9" s="7"/>
    </row>
    <row r="10" spans="1:3">
      <c r="A10" s="8" t="s">
        <v>88</v>
      </c>
      <c r="B10" s="9">
        <v>260.34</v>
      </c>
      <c r="C10" s="10" t="s">
        <v>89</v>
      </c>
    </row>
    <row r="11" spans="1:3">
      <c r="A11" s="8" t="s">
        <v>96</v>
      </c>
      <c r="B11" s="9">
        <v>47.1</v>
      </c>
      <c r="C11" s="10" t="s">
        <v>89</v>
      </c>
    </row>
    <row r="12" spans="1:3">
      <c r="A12" s="8" t="s">
        <v>91</v>
      </c>
      <c r="B12" s="9">
        <v>17.52</v>
      </c>
      <c r="C12" s="10" t="s">
        <v>89</v>
      </c>
    </row>
    <row r="13" spans="1:3">
      <c r="A13" s="8" t="s">
        <v>97</v>
      </c>
      <c r="B13" s="9">
        <v>26.4</v>
      </c>
      <c r="C13" s="10" t="s">
        <v>89</v>
      </c>
    </row>
    <row r="14" spans="1:3">
      <c r="A14" s="8" t="s">
        <v>98</v>
      </c>
      <c r="B14" s="21">
        <f>B10/B11</f>
        <v>5.52738853503185</v>
      </c>
      <c r="C14" s="10" t="s">
        <v>99</v>
      </c>
    </row>
    <row r="15" spans="1:3">
      <c r="A15" s="8" t="s">
        <v>100</v>
      </c>
      <c r="B15" s="21">
        <f>B11/B13</f>
        <v>1.78409090909091</v>
      </c>
      <c r="C15" s="10" t="s">
        <v>99</v>
      </c>
    </row>
    <row r="16" spans="1:3">
      <c r="A16" s="8" t="s">
        <v>101</v>
      </c>
      <c r="B16" s="21">
        <v>2</v>
      </c>
      <c r="C16" s="10" t="s">
        <v>93</v>
      </c>
    </row>
    <row r="18" spans="1:3">
      <c r="A18" s="12" t="s">
        <v>102</v>
      </c>
      <c r="B18" s="2"/>
      <c r="C18" s="2"/>
    </row>
    <row r="19" spans="1:4">
      <c r="A19" s="13" t="s">
        <v>103</v>
      </c>
      <c r="B19" s="14">
        <v>0.0166666666666667</v>
      </c>
      <c r="C19" s="15" t="s">
        <v>99</v>
      </c>
      <c r="D19">
        <f>1/B19</f>
        <v>60</v>
      </c>
    </row>
    <row r="20" spans="1:3">
      <c r="A20" s="13" t="s">
        <v>88</v>
      </c>
      <c r="B20" s="16">
        <f>B10*$B$19</f>
        <v>4.339</v>
      </c>
      <c r="C20" s="15" t="s">
        <v>89</v>
      </c>
    </row>
    <row r="21" spans="1:3">
      <c r="A21" s="13" t="s">
        <v>96</v>
      </c>
      <c r="B21" s="16">
        <f>B11*$B$19</f>
        <v>0.785</v>
      </c>
      <c r="C21" s="15" t="s">
        <v>89</v>
      </c>
    </row>
    <row r="22" spans="1:3">
      <c r="A22" s="13" t="s">
        <v>91</v>
      </c>
      <c r="B22" s="16">
        <f>B12*$B$19</f>
        <v>0.292</v>
      </c>
      <c r="C22" s="15" t="s">
        <v>89</v>
      </c>
    </row>
    <row r="23" spans="1:3">
      <c r="A23" s="13" t="s">
        <v>97</v>
      </c>
      <c r="B23" s="16">
        <f>B13*$B$19</f>
        <v>0.44</v>
      </c>
      <c r="C23" s="15" t="s">
        <v>89</v>
      </c>
    </row>
    <row r="24" spans="1:3">
      <c r="A24" s="13" t="s">
        <v>3</v>
      </c>
      <c r="B24" s="16">
        <f>11.2*SQRT(B19)</f>
        <v>1.4459137825841</v>
      </c>
      <c r="C24" s="15" t="s">
        <v>104</v>
      </c>
    </row>
    <row r="25" spans="1:3">
      <c r="A25" s="13" t="s">
        <v>4</v>
      </c>
      <c r="B25" s="16">
        <f>B19*17.3</f>
        <v>0.288333333333333</v>
      </c>
      <c r="C25" s="15" t="s">
        <v>89</v>
      </c>
    </row>
    <row r="26" spans="1:3">
      <c r="A26" s="13" t="s">
        <v>105</v>
      </c>
      <c r="B26" s="16">
        <f>2*PI()/B24</f>
        <v>4.34547715282887</v>
      </c>
      <c r="C26" s="15" t="s">
        <v>106</v>
      </c>
    </row>
    <row r="27" spans="1:3">
      <c r="A27" s="13" t="s">
        <v>107</v>
      </c>
      <c r="B27" s="16">
        <f>(B26^2)/(9.81*TANH((B26^2)*B5/9.81))</f>
        <v>1.92492720157716</v>
      </c>
      <c r="C27" s="15" t="s">
        <v>108</v>
      </c>
    </row>
    <row r="28" spans="1:3">
      <c r="A28" s="13" t="s">
        <v>109</v>
      </c>
      <c r="B28" s="16">
        <f>2*PI()/B27</f>
        <v>3.2641158076168</v>
      </c>
      <c r="C28" s="15" t="s">
        <v>89</v>
      </c>
    </row>
    <row r="29" spans="1:3">
      <c r="A29" s="13" t="s">
        <v>110</v>
      </c>
      <c r="B29" s="16">
        <f>B25/B28</f>
        <v>0.0883342841759806</v>
      </c>
      <c r="C29" s="15" t="s">
        <v>99</v>
      </c>
    </row>
    <row r="30" spans="1:3">
      <c r="A30" s="13" t="s">
        <v>111</v>
      </c>
      <c r="B30" s="16">
        <f>B5/B28</f>
        <v>0.919085037669162</v>
      </c>
      <c r="C30" s="15" t="s">
        <v>112</v>
      </c>
    </row>
    <row r="31" spans="1:1">
      <c r="A31" s="12" t="s">
        <v>102</v>
      </c>
    </row>
    <row r="32" spans="1:3">
      <c r="A32" s="13" t="s">
        <v>3</v>
      </c>
      <c r="B32" s="16">
        <f>SQRT(B19)*12.9</f>
        <v>1.66538283886919</v>
      </c>
      <c r="C32" s="15" t="s">
        <v>104</v>
      </c>
    </row>
    <row r="33" spans="1:3">
      <c r="A33" s="13" t="s">
        <v>4</v>
      </c>
      <c r="B33" s="16">
        <f>B19*17.18</f>
        <v>0.286333333333333</v>
      </c>
      <c r="C33" s="15" t="s">
        <v>89</v>
      </c>
    </row>
    <row r="34" spans="1:3">
      <c r="A34" s="13" t="s">
        <v>105</v>
      </c>
      <c r="B34" s="16">
        <f>2*PI()/B32</f>
        <v>3.77281737299871</v>
      </c>
      <c r="C34" s="15" t="s">
        <v>106</v>
      </c>
    </row>
    <row r="35" spans="1:3">
      <c r="A35" s="13" t="s">
        <v>107</v>
      </c>
      <c r="B35" s="16">
        <f>(B34^2)/(9.81*TANH((B34^2)*B5/9.81))</f>
        <v>1.45146444601292</v>
      </c>
      <c r="C35" s="15" t="s">
        <v>108</v>
      </c>
    </row>
    <row r="36" spans="1:3">
      <c r="A36" s="13" t="s">
        <v>109</v>
      </c>
      <c r="B36" s="16">
        <f>2*PI()/B35</f>
        <v>4.32885925965262</v>
      </c>
      <c r="C36" s="15" t="s">
        <v>89</v>
      </c>
    </row>
    <row r="37" spans="1:3">
      <c r="A37" s="13" t="s">
        <v>110</v>
      </c>
      <c r="B37" s="16">
        <f>B33/B36</f>
        <v>0.0661452165936924</v>
      </c>
      <c r="C37" s="15" t="s">
        <v>99</v>
      </c>
    </row>
    <row r="38" spans="1:3">
      <c r="A38" s="13" t="s">
        <v>111</v>
      </c>
      <c r="B38" s="16">
        <f>B5/B36</f>
        <v>0.693023223915287</v>
      </c>
      <c r="C38" s="15" t="s">
        <v>112</v>
      </c>
    </row>
    <row r="40" spans="1:1">
      <c r="A40" s="17" t="s">
        <v>113</v>
      </c>
    </row>
    <row r="41" spans="1:3">
      <c r="A41" s="18" t="s">
        <v>114</v>
      </c>
      <c r="B41" s="19">
        <v>13.5</v>
      </c>
      <c r="C41" s="20" t="s">
        <v>89</v>
      </c>
    </row>
    <row r="42" spans="1:3">
      <c r="A42" s="18" t="s">
        <v>115</v>
      </c>
      <c r="B42" s="19">
        <v>12.9</v>
      </c>
      <c r="C42" s="20" t="s">
        <v>104</v>
      </c>
    </row>
    <row r="43" spans="1:3">
      <c r="A43" s="18" t="s">
        <v>116</v>
      </c>
      <c r="B43" s="19">
        <v>3.3</v>
      </c>
      <c r="C43" s="20"/>
    </row>
    <row r="44" spans="1:3">
      <c r="A44" s="18"/>
      <c r="B44" s="19"/>
      <c r="C44" s="20"/>
    </row>
    <row r="45" spans="1:3">
      <c r="A45" s="18" t="s">
        <v>117</v>
      </c>
      <c r="B45" s="19" t="s">
        <v>77</v>
      </c>
      <c r="C45" s="20"/>
    </row>
    <row r="46" spans="1:3">
      <c r="A46" s="18" t="s">
        <v>2</v>
      </c>
      <c r="B46" s="19" t="s">
        <v>83</v>
      </c>
      <c r="C46" s="20"/>
    </row>
  </sheetData>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47" sqref="B47"/>
    </sheetView>
  </sheetViews>
  <sheetFormatPr defaultColWidth="8.8" defaultRowHeight="15.75" outlineLevelCol="3"/>
  <cols>
    <col min="1" max="1" width="17.1" customWidth="true"/>
  </cols>
  <sheetData>
    <row r="2" spans="1:3">
      <c r="A2" s="1" t="s">
        <v>86</v>
      </c>
      <c r="B2" s="2"/>
      <c r="C2" s="2"/>
    </row>
    <row r="3" spans="1:3">
      <c r="A3" s="3" t="s">
        <v>88</v>
      </c>
      <c r="B3" s="4">
        <v>3</v>
      </c>
      <c r="C3" s="5" t="s">
        <v>89</v>
      </c>
    </row>
    <row r="4" spans="1:3">
      <c r="A4" s="3" t="s">
        <v>90</v>
      </c>
      <c r="B4" s="4">
        <v>1.5</v>
      </c>
      <c r="C4" s="5" t="s">
        <v>89</v>
      </c>
    </row>
    <row r="5" spans="1:3">
      <c r="A5" s="3" t="s">
        <v>91</v>
      </c>
      <c r="B5" s="4">
        <v>0.8</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f t="shared" ref="B10:B13" si="0">B20/$B$19</f>
        <v>78.75</v>
      </c>
      <c r="C10" s="10" t="s">
        <v>89</v>
      </c>
    </row>
    <row r="11" spans="1:3">
      <c r="A11" s="8" t="s">
        <v>96</v>
      </c>
      <c r="B11" s="9">
        <f t="shared" si="0"/>
        <v>70</v>
      </c>
      <c r="C11" s="10" t="s">
        <v>89</v>
      </c>
    </row>
    <row r="12" spans="1:3">
      <c r="A12" s="8" t="s">
        <v>91</v>
      </c>
      <c r="B12" s="9">
        <f t="shared" si="0"/>
        <v>52.5</v>
      </c>
      <c r="C12" s="10" t="s">
        <v>89</v>
      </c>
    </row>
    <row r="13" spans="1:3">
      <c r="A13" s="8" t="s">
        <v>97</v>
      </c>
      <c r="B13" s="9">
        <f t="shared" si="0"/>
        <v>0</v>
      </c>
      <c r="C13" s="10" t="s">
        <v>89</v>
      </c>
    </row>
    <row r="14" spans="1:3">
      <c r="A14" s="8" t="s">
        <v>98</v>
      </c>
      <c r="B14" s="9">
        <f>B10/B11</f>
        <v>1.125</v>
      </c>
      <c r="C14" s="10" t="s">
        <v>99</v>
      </c>
    </row>
    <row r="15" spans="1:3">
      <c r="A15" s="8" t="s">
        <v>100</v>
      </c>
      <c r="B15" s="9" t="e">
        <f>B11/B13</f>
        <v>#DIV/0!</v>
      </c>
      <c r="C15" s="10" t="s">
        <v>99</v>
      </c>
    </row>
    <row r="16" spans="1:3">
      <c r="A16" s="8" t="s">
        <v>101</v>
      </c>
      <c r="B16" s="11">
        <v>0</v>
      </c>
      <c r="C16" s="10" t="s">
        <v>93</v>
      </c>
    </row>
    <row r="17" customFormat="true"/>
    <row r="18" spans="1:3">
      <c r="A18" s="12" t="s">
        <v>102</v>
      </c>
      <c r="B18" s="2"/>
      <c r="C18" s="2"/>
    </row>
    <row r="19" spans="1:4">
      <c r="A19" s="13" t="s">
        <v>103</v>
      </c>
      <c r="B19" s="14">
        <f>1/250</f>
        <v>0.004</v>
      </c>
      <c r="C19" s="15" t="s">
        <v>99</v>
      </c>
      <c r="D19">
        <f>1/B19</f>
        <v>250</v>
      </c>
    </row>
    <row r="20" spans="1:3">
      <c r="A20" s="13" t="s">
        <v>88</v>
      </c>
      <c r="B20" s="16">
        <v>0.315</v>
      </c>
      <c r="C20" s="15" t="s">
        <v>89</v>
      </c>
    </row>
    <row r="21" spans="1:3">
      <c r="A21" s="13" t="s">
        <v>96</v>
      </c>
      <c r="B21" s="16">
        <v>0.28</v>
      </c>
      <c r="C21" s="15" t="s">
        <v>89</v>
      </c>
    </row>
    <row r="22" spans="1:3">
      <c r="A22" s="13" t="s">
        <v>91</v>
      </c>
      <c r="B22" s="16">
        <v>0.21</v>
      </c>
      <c r="C22" s="15" t="s">
        <v>89</v>
      </c>
    </row>
    <row r="23" spans="1:3">
      <c r="A23" s="13" t="s">
        <v>97</v>
      </c>
      <c r="B23" s="16">
        <v>0</v>
      </c>
      <c r="C23" s="15" t="s">
        <v>89</v>
      </c>
    </row>
    <row r="24" spans="1:3">
      <c r="A24" s="13" t="s">
        <v>3</v>
      </c>
      <c r="B24" s="16">
        <v>0.5</v>
      </c>
      <c r="C24" s="15" t="s">
        <v>104</v>
      </c>
    </row>
    <row r="25" spans="1:3">
      <c r="A25" s="13" t="s">
        <v>4</v>
      </c>
      <c r="B25" s="16">
        <f>2*0.093</f>
        <v>0.186</v>
      </c>
      <c r="C25" s="15" t="s">
        <v>89</v>
      </c>
    </row>
    <row r="26" spans="1:3">
      <c r="A26" s="13" t="s">
        <v>105</v>
      </c>
      <c r="B26" s="16">
        <f>2*PI()/B24</f>
        <v>12.5663706143592</v>
      </c>
      <c r="C26" s="15" t="s">
        <v>106</v>
      </c>
    </row>
    <row r="27" spans="1:3">
      <c r="A27" s="13" t="s">
        <v>107</v>
      </c>
      <c r="B27" s="16">
        <f>(B26^2)/(9.81*TANH((B26^2)*B5/9.81))</f>
        <v>16.0972141100398</v>
      </c>
      <c r="C27" s="15" t="s">
        <v>108</v>
      </c>
    </row>
    <row r="28" spans="1:3">
      <c r="A28" s="13" t="s">
        <v>109</v>
      </c>
      <c r="B28" s="16">
        <f>2*PI()/B27</f>
        <v>0.39032749792778</v>
      </c>
      <c r="C28" s="15" t="s">
        <v>89</v>
      </c>
    </row>
    <row r="29" spans="1:3">
      <c r="A29" s="13" t="s">
        <v>110</v>
      </c>
      <c r="B29" s="16">
        <f>B25/B28</f>
        <v>0.476522922385587</v>
      </c>
      <c r="C29" s="15" t="s">
        <v>99</v>
      </c>
    </row>
    <row r="30" spans="1:3">
      <c r="A30" s="13" t="s">
        <v>111</v>
      </c>
      <c r="B30" s="16">
        <f>B5/B28</f>
        <v>2.04956095649715</v>
      </c>
      <c r="C30" s="15" t="s">
        <v>112</v>
      </c>
    </row>
    <row r="31" spans="1:1">
      <c r="A31" s="12" t="s">
        <v>102</v>
      </c>
    </row>
    <row r="32" spans="1:3">
      <c r="A32" s="13" t="s">
        <v>3</v>
      </c>
      <c r="B32" s="16">
        <v>3</v>
      </c>
      <c r="C32" s="15" t="s">
        <v>104</v>
      </c>
    </row>
    <row r="33" spans="1:3">
      <c r="A33" s="13" t="s">
        <v>4</v>
      </c>
      <c r="B33" s="16">
        <f>2*0.113</f>
        <v>0.226</v>
      </c>
      <c r="C33" s="15" t="s">
        <v>89</v>
      </c>
    </row>
    <row r="34" spans="1:3">
      <c r="A34" s="13" t="s">
        <v>105</v>
      </c>
      <c r="B34" s="16">
        <f>2*PI()/B32</f>
        <v>2.0943951023932</v>
      </c>
      <c r="C34" s="15" t="s">
        <v>106</v>
      </c>
    </row>
    <row r="35" spans="1:3">
      <c r="A35" s="13" t="s">
        <v>107</v>
      </c>
      <c r="B35" s="16">
        <f>(B34^2)/(9.81*TANH((B34^2)*B5/9.81))</f>
        <v>1.30286757618853</v>
      </c>
      <c r="C35" s="15" t="s">
        <v>108</v>
      </c>
    </row>
    <row r="36" spans="1:3">
      <c r="A36" s="13" t="s">
        <v>109</v>
      </c>
      <c r="B36" s="16">
        <f>2*PI()/B35</f>
        <v>4.82258168213896</v>
      </c>
      <c r="C36" s="15" t="s">
        <v>89</v>
      </c>
    </row>
    <row r="37" spans="1:3">
      <c r="A37" s="13" t="s">
        <v>110</v>
      </c>
      <c r="B37" s="16">
        <f>B33/B36</f>
        <v>0.0468628661774708</v>
      </c>
      <c r="C37" s="15" t="s">
        <v>99</v>
      </c>
    </row>
    <row r="38" spans="1:3">
      <c r="A38" s="13" t="s">
        <v>111</v>
      </c>
      <c r="B38" s="16">
        <f>B5/B36</f>
        <v>0.165886251955649</v>
      </c>
      <c r="C38" s="15" t="s">
        <v>112</v>
      </c>
    </row>
    <row r="39" customFormat="true"/>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74</v>
      </c>
      <c r="C45" s="20"/>
    </row>
    <row r="46" spans="1:3">
      <c r="A46" s="18" t="s">
        <v>2</v>
      </c>
      <c r="B46" s="19" t="s">
        <v>81</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46"/>
  <sheetViews>
    <sheetView workbookViewId="0">
      <selection activeCell="B19" sqref="B19"/>
    </sheetView>
  </sheetViews>
  <sheetFormatPr defaultColWidth="8.8" defaultRowHeight="15.75" outlineLevelCol="4"/>
  <cols>
    <col min="1" max="1" width="17.1" customWidth="true"/>
    <col min="2" max="2" width="8.8" customWidth="true"/>
  </cols>
  <sheetData>
    <row r="1" customFormat="true" spans="1:5">
      <c r="A1" t="s">
        <v>166</v>
      </c>
      <c r="E1" t="s">
        <v>167</v>
      </c>
    </row>
    <row r="2" spans="1:3">
      <c r="A2" s="1" t="s">
        <v>86</v>
      </c>
      <c r="B2" s="2"/>
      <c r="C2" s="2"/>
    </row>
    <row r="3" spans="1:3">
      <c r="A3" s="3" t="s">
        <v>88</v>
      </c>
      <c r="B3" s="4">
        <v>45.7</v>
      </c>
      <c r="C3" s="5" t="s">
        <v>89</v>
      </c>
    </row>
    <row r="4" spans="1:3">
      <c r="A4" s="3" t="s">
        <v>90</v>
      </c>
      <c r="B4" s="4">
        <v>30.5</v>
      </c>
      <c r="C4" s="5" t="s">
        <v>89</v>
      </c>
    </row>
    <row r="5" spans="1:3">
      <c r="A5" s="3" t="s">
        <v>91</v>
      </c>
      <c r="B5" s="4">
        <v>5.8</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t="e">
        <f t="shared" ref="B10:B13" si="0">B20/$B$19</f>
        <v>#DIV/0!</v>
      </c>
      <c r="C10" s="10" t="s">
        <v>89</v>
      </c>
    </row>
    <row r="11" spans="1:3">
      <c r="A11" s="8" t="s">
        <v>96</v>
      </c>
      <c r="B11" s="9" t="e">
        <f t="shared" si="0"/>
        <v>#DIV/0!</v>
      </c>
      <c r="C11" s="10" t="s">
        <v>89</v>
      </c>
    </row>
    <row r="12" spans="1:3">
      <c r="A12" s="8" t="s">
        <v>91</v>
      </c>
      <c r="B12" s="9" t="e">
        <f t="shared" si="0"/>
        <v>#DIV/0!</v>
      </c>
      <c r="C12" s="10" t="s">
        <v>89</v>
      </c>
    </row>
    <row r="13" spans="1:3">
      <c r="A13" s="8" t="s">
        <v>97</v>
      </c>
      <c r="B13" s="9" t="e">
        <f t="shared" si="0"/>
        <v>#DIV/0!</v>
      </c>
      <c r="C13" s="10" t="s">
        <v>89</v>
      </c>
    </row>
    <row r="14" spans="1:3">
      <c r="A14" s="8" t="s">
        <v>98</v>
      </c>
      <c r="B14" s="9" t="e">
        <f>B10/B11</f>
        <v>#DIV/0!</v>
      </c>
      <c r="C14" s="10" t="s">
        <v>99</v>
      </c>
    </row>
    <row r="15" spans="1:3">
      <c r="A15" s="8" t="s">
        <v>100</v>
      </c>
      <c r="B15" s="21" t="e">
        <f>B11/B13</f>
        <v>#DIV/0!</v>
      </c>
      <c r="C15" s="10" t="s">
        <v>99</v>
      </c>
    </row>
    <row r="16" spans="1:3">
      <c r="A16" s="8" t="s">
        <v>101</v>
      </c>
      <c r="B16" s="11">
        <v>0</v>
      </c>
      <c r="C16" s="10" t="s">
        <v>93</v>
      </c>
    </row>
    <row r="18" spans="1:3">
      <c r="A18" s="12" t="s">
        <v>102</v>
      </c>
      <c r="B18" s="2"/>
      <c r="C18" s="2"/>
    </row>
    <row r="19" spans="1:4">
      <c r="A19" s="13" t="s">
        <v>103</v>
      </c>
      <c r="B19" s="14"/>
      <c r="C19" s="15" t="s">
        <v>99</v>
      </c>
      <c r="D19" t="e">
        <f>1/B19</f>
        <v>#DIV/0!</v>
      </c>
    </row>
    <row r="20" spans="1:3">
      <c r="A20" s="13" t="s">
        <v>88</v>
      </c>
      <c r="B20" s="16">
        <v>0.74</v>
      </c>
      <c r="C20" s="15" t="s">
        <v>89</v>
      </c>
    </row>
    <row r="21" spans="1:3">
      <c r="A21" s="13" t="s">
        <v>96</v>
      </c>
      <c r="B21" s="16">
        <v>0.74</v>
      </c>
      <c r="C21" s="15" t="s">
        <v>89</v>
      </c>
    </row>
    <row r="22" spans="1:3">
      <c r="A22" s="13" t="s">
        <v>91</v>
      </c>
      <c r="B22" s="16"/>
      <c r="C22" s="15" t="s">
        <v>89</v>
      </c>
    </row>
    <row r="23" spans="1:3">
      <c r="A23" s="13" t="s">
        <v>97</v>
      </c>
      <c r="B23" s="16">
        <v>0.26</v>
      </c>
      <c r="C23" s="15" t="s">
        <v>89</v>
      </c>
    </row>
    <row r="24" spans="1:3">
      <c r="A24" s="13" t="s">
        <v>3</v>
      </c>
      <c r="B24" s="16">
        <v>1.76</v>
      </c>
      <c r="C24" s="15" t="s">
        <v>104</v>
      </c>
    </row>
    <row r="25" spans="1:3">
      <c r="A25" s="13" t="s">
        <v>4</v>
      </c>
      <c r="B25" s="16">
        <v>0.43</v>
      </c>
      <c r="C25" s="15" t="s">
        <v>89</v>
      </c>
    </row>
    <row r="26" spans="1:3">
      <c r="A26" s="13" t="s">
        <v>105</v>
      </c>
      <c r="B26" s="16">
        <f>2*PI()/B24</f>
        <v>3.56999165180658</v>
      </c>
      <c r="C26" s="15" t="s">
        <v>106</v>
      </c>
    </row>
    <row r="27" spans="1:3">
      <c r="A27" s="13" t="s">
        <v>107</v>
      </c>
      <c r="B27" s="16">
        <f>(B26^2)/(9.81*TANH((B26^2)*B5/9.81))</f>
        <v>1.29916897671955</v>
      </c>
      <c r="C27" s="15" t="s">
        <v>108</v>
      </c>
    </row>
    <row r="28" spans="1:3">
      <c r="A28" s="13" t="s">
        <v>109</v>
      </c>
      <c r="B28" s="16">
        <f>2*PI()/B27</f>
        <v>4.8363110725172</v>
      </c>
      <c r="C28" s="15" t="s">
        <v>89</v>
      </c>
    </row>
    <row r="29" spans="1:3">
      <c r="A29" s="13" t="s">
        <v>110</v>
      </c>
      <c r="B29" s="16">
        <f>B25/B28</f>
        <v>0.0889107407593189</v>
      </c>
      <c r="C29" s="15" t="s">
        <v>99</v>
      </c>
    </row>
    <row r="30" spans="1:3">
      <c r="A30" s="13" t="s">
        <v>111</v>
      </c>
      <c r="B30" s="16">
        <f>B5/B28</f>
        <v>1.19926115442802</v>
      </c>
      <c r="C30" s="15" t="s">
        <v>112</v>
      </c>
    </row>
    <row r="31" spans="1:1">
      <c r="A31" s="12" t="s">
        <v>102</v>
      </c>
    </row>
    <row r="32" spans="1:3">
      <c r="A32" s="13" t="s">
        <v>3</v>
      </c>
      <c r="B32" s="16">
        <v>2.73</v>
      </c>
      <c r="C32" s="15" t="s">
        <v>104</v>
      </c>
    </row>
    <row r="33" spans="1:3">
      <c r="A33" s="13" t="s">
        <v>4</v>
      </c>
      <c r="B33" s="16">
        <v>0.55</v>
      </c>
      <c r="C33" s="15" t="s">
        <v>89</v>
      </c>
    </row>
    <row r="34" spans="1:3">
      <c r="A34" s="13" t="s">
        <v>105</v>
      </c>
      <c r="B34" s="16">
        <f>2*PI()/B32</f>
        <v>2.30153307955296</v>
      </c>
      <c r="C34" s="15" t="s">
        <v>106</v>
      </c>
    </row>
    <row r="35" spans="1:3">
      <c r="A35" s="13" t="s">
        <v>107</v>
      </c>
      <c r="B35" s="16">
        <f>(B34^2)/(9.81*TANH((B34^2)*B5/9.81))</f>
        <v>0.542025317856072</v>
      </c>
      <c r="C35" s="15" t="s">
        <v>108</v>
      </c>
    </row>
    <row r="36" spans="1:3">
      <c r="A36" s="13" t="s">
        <v>109</v>
      </c>
      <c r="B36" s="16">
        <f>2*PI()/B35</f>
        <v>11.5920513307978</v>
      </c>
      <c r="C36" s="15" t="s">
        <v>89</v>
      </c>
    </row>
    <row r="37" spans="1:3">
      <c r="A37" s="13" t="s">
        <v>110</v>
      </c>
      <c r="B37" s="16">
        <f>B33/B36</f>
        <v>0.0474463047397623</v>
      </c>
      <c r="C37" s="15" t="s">
        <v>99</v>
      </c>
    </row>
    <row r="38" spans="1:3">
      <c r="A38" s="13" t="s">
        <v>111</v>
      </c>
      <c r="B38" s="16">
        <f>B5/B36</f>
        <v>0.500342849982947</v>
      </c>
      <c r="C38" s="15" t="s">
        <v>112</v>
      </c>
    </row>
    <row r="40" spans="1:1">
      <c r="A40" s="17" t="s">
        <v>113</v>
      </c>
    </row>
    <row r="41" spans="1:3">
      <c r="A41" s="18" t="s">
        <v>83</v>
      </c>
      <c r="B41" s="19"/>
      <c r="C41" s="20"/>
    </row>
    <row r="42" spans="1:3">
      <c r="A42" s="18" t="s">
        <v>168</v>
      </c>
      <c r="B42" s="19"/>
      <c r="C42" s="20"/>
    </row>
    <row r="43" spans="1:3">
      <c r="A43" s="18"/>
      <c r="B43" s="19"/>
      <c r="C43" s="20"/>
    </row>
    <row r="44" spans="1:3">
      <c r="A44" s="18"/>
      <c r="B44" s="19"/>
      <c r="C44" s="20"/>
    </row>
    <row r="45" spans="1:3">
      <c r="A45" s="18" t="s">
        <v>117</v>
      </c>
      <c r="B45" s="19" t="s">
        <v>74</v>
      </c>
      <c r="C45" s="20"/>
    </row>
    <row r="46" spans="1:3">
      <c r="A46" s="18" t="s">
        <v>2</v>
      </c>
      <c r="B46" s="19" t="s">
        <v>169</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46"/>
  <sheetViews>
    <sheetView workbookViewId="0">
      <selection activeCell="B47" sqref="B47"/>
    </sheetView>
  </sheetViews>
  <sheetFormatPr defaultColWidth="8.8" defaultRowHeight="15.75" outlineLevelCol="5"/>
  <cols>
    <col min="1" max="1" width="17.1" customWidth="true"/>
    <col min="13" max="13" width="12.5"/>
  </cols>
  <sheetData>
    <row r="1" customFormat="true" spans="1:6">
      <c r="A1" t="s">
        <v>170</v>
      </c>
      <c r="F1" t="s">
        <v>171</v>
      </c>
    </row>
    <row r="2" spans="1:3">
      <c r="A2" s="1" t="s">
        <v>86</v>
      </c>
      <c r="B2" s="2"/>
      <c r="C2" s="2"/>
    </row>
    <row r="3" spans="1:3">
      <c r="A3" s="3" t="s">
        <v>88</v>
      </c>
      <c r="B3" s="4">
        <v>32</v>
      </c>
      <c r="C3" s="5" t="s">
        <v>89</v>
      </c>
    </row>
    <row r="4" spans="1:3">
      <c r="A4" s="3" t="s">
        <v>90</v>
      </c>
      <c r="B4" s="4">
        <v>0.6</v>
      </c>
      <c r="C4" s="5" t="s">
        <v>89</v>
      </c>
    </row>
    <row r="5" spans="1:3">
      <c r="A5" s="3" t="s">
        <v>91</v>
      </c>
      <c r="B5" s="4">
        <v>1</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v>241</v>
      </c>
      <c r="C10" s="10" t="s">
        <v>89</v>
      </c>
    </row>
    <row r="11" spans="1:3">
      <c r="A11" s="8" t="s">
        <v>96</v>
      </c>
      <c r="B11" s="9">
        <v>42</v>
      </c>
      <c r="C11" s="10" t="s">
        <v>89</v>
      </c>
    </row>
    <row r="12" spans="1:3">
      <c r="A12" s="8" t="s">
        <v>91</v>
      </c>
      <c r="B12" s="9">
        <v>20.4</v>
      </c>
      <c r="C12" s="10" t="s">
        <v>89</v>
      </c>
    </row>
    <row r="13" spans="1:3">
      <c r="A13" s="8" t="s">
        <v>97</v>
      </c>
      <c r="B13" s="9">
        <v>13.9</v>
      </c>
      <c r="C13" s="10" t="s">
        <v>89</v>
      </c>
    </row>
    <row r="14" spans="1:3">
      <c r="A14" s="8" t="s">
        <v>98</v>
      </c>
      <c r="B14" s="9">
        <v>13.9</v>
      </c>
      <c r="C14" s="10" t="s">
        <v>99</v>
      </c>
    </row>
    <row r="15" spans="1:3">
      <c r="A15" s="8" t="s">
        <v>100</v>
      </c>
      <c r="B15" s="9">
        <f>B11/B13</f>
        <v>3.02158273381295</v>
      </c>
      <c r="C15" s="10" t="s">
        <v>99</v>
      </c>
    </row>
    <row r="16" spans="1:3">
      <c r="A16" s="8" t="s">
        <v>101</v>
      </c>
      <c r="B16" s="11"/>
      <c r="C16" s="10" t="s">
        <v>93</v>
      </c>
    </row>
    <row r="18" spans="1:3">
      <c r="A18" s="12" t="s">
        <v>102</v>
      </c>
      <c r="B18" s="2"/>
      <c r="C18" s="2"/>
    </row>
    <row r="19" spans="1:4">
      <c r="A19" s="13" t="s">
        <v>103</v>
      </c>
      <c r="B19" s="14">
        <f>B22/B12</f>
        <v>0.00799019607843137</v>
      </c>
      <c r="C19" s="15" t="s">
        <v>99</v>
      </c>
      <c r="D19">
        <f>1/B19</f>
        <v>125.153374233129</v>
      </c>
    </row>
    <row r="20" spans="1:3">
      <c r="A20" s="13" t="s">
        <v>88</v>
      </c>
      <c r="B20" s="16"/>
      <c r="C20" s="15" t="s">
        <v>89</v>
      </c>
    </row>
    <row r="21" spans="1:3">
      <c r="A21" s="13" t="s">
        <v>96</v>
      </c>
      <c r="B21" s="16">
        <v>0.336</v>
      </c>
      <c r="C21" s="15" t="s">
        <v>89</v>
      </c>
    </row>
    <row r="22" spans="1:3">
      <c r="A22" s="13" t="s">
        <v>91</v>
      </c>
      <c r="B22" s="16">
        <v>0.163</v>
      </c>
      <c r="C22" s="15" t="s">
        <v>89</v>
      </c>
    </row>
    <row r="23" spans="1:3">
      <c r="A23" s="13" t="s">
        <v>97</v>
      </c>
      <c r="B23" s="16">
        <v>0.111</v>
      </c>
      <c r="C23" s="15" t="s">
        <v>89</v>
      </c>
    </row>
    <row r="24" spans="1:4">
      <c r="A24" s="13" t="s">
        <v>3</v>
      </c>
      <c r="B24" s="16">
        <f>15.1*SQRT(B19)</f>
        <v>1.34975724033736</v>
      </c>
      <c r="C24" s="15" t="s">
        <v>104</v>
      </c>
      <c r="D24" t="s">
        <v>172</v>
      </c>
    </row>
    <row r="25" spans="1:4">
      <c r="A25" s="13" t="s">
        <v>4</v>
      </c>
      <c r="B25" s="16">
        <f>13.1*B19</f>
        <v>0.104671568627451</v>
      </c>
      <c r="C25" s="15" t="s">
        <v>89</v>
      </c>
      <c r="D25" t="s">
        <v>172</v>
      </c>
    </row>
    <row r="26" spans="1:3">
      <c r="A26" s="13" t="s">
        <v>105</v>
      </c>
      <c r="B26" s="16">
        <f>2*PI()/B24</f>
        <v>4.65504841863944</v>
      </c>
      <c r="C26" s="15" t="s">
        <v>106</v>
      </c>
    </row>
    <row r="27" spans="1:3">
      <c r="A27" s="13" t="s">
        <v>107</v>
      </c>
      <c r="B27" s="16">
        <f>(B26^2)/(9.81*TANH((B26^2)*B5/9.81))</f>
        <v>2.26284794701603</v>
      </c>
      <c r="C27" s="15" t="s">
        <v>108</v>
      </c>
    </row>
    <row r="28" spans="1:3">
      <c r="A28" s="13" t="s">
        <v>109</v>
      </c>
      <c r="B28" s="16">
        <f>2*PI()/B27</f>
        <v>2.77667145751666</v>
      </c>
      <c r="C28" s="15" t="s">
        <v>89</v>
      </c>
    </row>
    <row r="29" spans="1:3">
      <c r="A29" s="13" t="s">
        <v>110</v>
      </c>
      <c r="B29" s="16">
        <f>B25/B28</f>
        <v>0.0376967784013831</v>
      </c>
      <c r="C29" s="15" t="s">
        <v>99</v>
      </c>
    </row>
    <row r="30" spans="1:3">
      <c r="A30" s="13" t="s">
        <v>111</v>
      </c>
      <c r="B30" s="16">
        <f>B5/B28</f>
        <v>0.360143436232949</v>
      </c>
      <c r="C30" s="15" t="s">
        <v>112</v>
      </c>
    </row>
    <row r="31" spans="1:1">
      <c r="A31" s="12" t="s">
        <v>102</v>
      </c>
    </row>
    <row r="32" spans="1:3">
      <c r="A32" s="13" t="s">
        <v>3</v>
      </c>
      <c r="B32" s="16"/>
      <c r="C32" s="15" t="s">
        <v>104</v>
      </c>
    </row>
    <row r="33" spans="1:3">
      <c r="A33" s="13" t="s">
        <v>4</v>
      </c>
      <c r="B33" s="16"/>
      <c r="C33" s="15" t="s">
        <v>89</v>
      </c>
    </row>
    <row r="34" spans="1:3">
      <c r="A34" s="13" t="s">
        <v>105</v>
      </c>
      <c r="B34" s="16" t="e">
        <f>2*PI()/B32</f>
        <v>#DIV/0!</v>
      </c>
      <c r="C34" s="15" t="s">
        <v>106</v>
      </c>
    </row>
    <row r="35" spans="1:3">
      <c r="A35" s="13" t="s">
        <v>107</v>
      </c>
      <c r="B35" s="16" t="e">
        <f>(B34^2)/(9.81*TANH((B34^2)*B17/9.81))</f>
        <v>#DIV/0!</v>
      </c>
      <c r="C35" s="15" t="s">
        <v>108</v>
      </c>
    </row>
    <row r="36" spans="1:3">
      <c r="A36" s="13" t="s">
        <v>109</v>
      </c>
      <c r="B36" s="16" t="e">
        <f>2*PI()/B35</f>
        <v>#DIV/0!</v>
      </c>
      <c r="C36" s="15" t="s">
        <v>89</v>
      </c>
    </row>
    <row r="37" spans="1:3">
      <c r="A37" s="13" t="s">
        <v>110</v>
      </c>
      <c r="B37" s="16" t="e">
        <f>B33/B36</f>
        <v>#DIV/0!</v>
      </c>
      <c r="C37" s="15" t="s">
        <v>99</v>
      </c>
    </row>
    <row r="38" spans="1:3">
      <c r="A38" s="13" t="s">
        <v>111</v>
      </c>
      <c r="B38" s="16" t="e">
        <f>B17/B36</f>
        <v>#DIV/0!</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74</v>
      </c>
      <c r="C45" s="20"/>
    </row>
    <row r="46" spans="1:3">
      <c r="A46" s="18" t="s">
        <v>2</v>
      </c>
      <c r="B46" s="19" t="s">
        <v>78</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46"/>
  <sheetViews>
    <sheetView workbookViewId="0">
      <selection activeCell="B19" sqref="B19"/>
    </sheetView>
  </sheetViews>
  <sheetFormatPr defaultColWidth="8.8" defaultRowHeight="15.75" outlineLevelCol="7"/>
  <cols>
    <col min="1" max="1" width="17.1" customWidth="true"/>
  </cols>
  <sheetData>
    <row r="1" customFormat="true" spans="1:8">
      <c r="A1" t="s">
        <v>173</v>
      </c>
      <c r="H1" t="s">
        <v>174</v>
      </c>
    </row>
    <row r="2" spans="1:3">
      <c r="A2" s="1" t="s">
        <v>86</v>
      </c>
      <c r="B2" s="2"/>
      <c r="C2" s="2"/>
    </row>
    <row r="3" spans="1:3">
      <c r="A3" s="3" t="s">
        <v>88</v>
      </c>
      <c r="B3" s="4"/>
      <c r="C3" s="5" t="s">
        <v>89</v>
      </c>
    </row>
    <row r="4" spans="1:3">
      <c r="A4" s="3" t="s">
        <v>90</v>
      </c>
      <c r="B4" s="4">
        <v>0.4</v>
      </c>
      <c r="C4" s="5" t="s">
        <v>89</v>
      </c>
    </row>
    <row r="5" spans="1:3">
      <c r="A5" s="3" t="s">
        <v>91</v>
      </c>
      <c r="B5" s="4">
        <v>0.25</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t="e">
        <f t="shared" ref="B10:B13" si="0">B20/$B$19</f>
        <v>#DIV/0!</v>
      </c>
      <c r="C10" s="10" t="s">
        <v>89</v>
      </c>
    </row>
    <row r="11" spans="1:3">
      <c r="A11" s="8" t="s">
        <v>96</v>
      </c>
      <c r="B11" s="9" t="e">
        <f t="shared" si="0"/>
        <v>#DIV/0!</v>
      </c>
      <c r="C11" s="10" t="s">
        <v>89</v>
      </c>
    </row>
    <row r="12" spans="1:3">
      <c r="A12" s="8" t="s">
        <v>91</v>
      </c>
      <c r="B12" s="9" t="e">
        <f t="shared" si="0"/>
        <v>#DIV/0!</v>
      </c>
      <c r="C12" s="10" t="s">
        <v>89</v>
      </c>
    </row>
    <row r="13" spans="1:3">
      <c r="A13" s="8" t="s">
        <v>97</v>
      </c>
      <c r="B13" s="9" t="e">
        <f t="shared" si="0"/>
        <v>#DIV/0!</v>
      </c>
      <c r="C13" s="10" t="s">
        <v>89</v>
      </c>
    </row>
    <row r="14" spans="1:3">
      <c r="A14" s="8" t="s">
        <v>98</v>
      </c>
      <c r="B14" s="9" t="e">
        <f>B10/B11</f>
        <v>#DIV/0!</v>
      </c>
      <c r="C14" s="10" t="s">
        <v>99</v>
      </c>
    </row>
    <row r="15" spans="1:3">
      <c r="A15" s="8" t="s">
        <v>100</v>
      </c>
      <c r="B15" s="9" t="e">
        <f>B11/B13</f>
        <v>#DIV/0!</v>
      </c>
      <c r="C15" s="10" t="s">
        <v>99</v>
      </c>
    </row>
    <row r="16" spans="1:3">
      <c r="A16" s="8" t="s">
        <v>101</v>
      </c>
      <c r="B16" s="11">
        <v>0</v>
      </c>
      <c r="C16" s="10" t="s">
        <v>93</v>
      </c>
    </row>
    <row r="18" spans="1:3">
      <c r="A18" s="12" t="s">
        <v>102</v>
      </c>
      <c r="B18" s="2"/>
      <c r="C18" s="2"/>
    </row>
    <row r="19" spans="1:4">
      <c r="A19" s="13" t="s">
        <v>103</v>
      </c>
      <c r="B19" s="14"/>
      <c r="C19" s="15" t="s">
        <v>99</v>
      </c>
      <c r="D19" t="e">
        <f>1/B19</f>
        <v>#DIV/0!</v>
      </c>
    </row>
    <row r="20" spans="1:3">
      <c r="A20" s="13" t="s">
        <v>88</v>
      </c>
      <c r="B20" s="16">
        <v>0.5</v>
      </c>
      <c r="C20" s="15" t="s">
        <v>89</v>
      </c>
    </row>
    <row r="21" spans="1:3">
      <c r="A21" s="13" t="s">
        <v>96</v>
      </c>
      <c r="B21" s="16">
        <v>0.4</v>
      </c>
      <c r="C21" s="15" t="s">
        <v>89</v>
      </c>
    </row>
    <row r="22" spans="1:3">
      <c r="A22" s="13" t="s">
        <v>91</v>
      </c>
      <c r="B22" s="16">
        <v>0.2</v>
      </c>
      <c r="C22" s="15" t="s">
        <v>89</v>
      </c>
    </row>
    <row r="23" spans="1:3">
      <c r="A23" s="13" t="s">
        <v>97</v>
      </c>
      <c r="B23" s="16">
        <v>0.15</v>
      </c>
      <c r="C23" s="15" t="s">
        <v>89</v>
      </c>
    </row>
    <row r="24" spans="1:3">
      <c r="A24" s="13" t="s">
        <v>3</v>
      </c>
      <c r="B24" s="16">
        <v>0.98</v>
      </c>
      <c r="C24" s="15" t="s">
        <v>104</v>
      </c>
    </row>
    <row r="25" spans="1:3">
      <c r="A25" s="13" t="s">
        <v>4</v>
      </c>
      <c r="B25" s="16">
        <v>0.084</v>
      </c>
      <c r="C25" s="15" t="s">
        <v>89</v>
      </c>
    </row>
    <row r="26" spans="1:3">
      <c r="A26" s="13" t="s">
        <v>105</v>
      </c>
      <c r="B26" s="16">
        <f>2*PI()/B24</f>
        <v>6.41141357875468</v>
      </c>
      <c r="C26" s="15" t="s">
        <v>106</v>
      </c>
    </row>
    <row r="27" spans="1:3">
      <c r="A27" s="13" t="s">
        <v>107</v>
      </c>
      <c r="B27" s="16">
        <f>(B26^2)/(9.81*TANH((B26^2)*B5/9.81))</f>
        <v>5.36621211052442</v>
      </c>
      <c r="C27" s="15" t="s">
        <v>108</v>
      </c>
    </row>
    <row r="28" spans="1:3">
      <c r="A28" s="13" t="s">
        <v>109</v>
      </c>
      <c r="B28" s="16">
        <f>2*PI()/B27</f>
        <v>1.17087904424366</v>
      </c>
      <c r="C28" s="15" t="s">
        <v>89</v>
      </c>
    </row>
    <row r="29" spans="1:3">
      <c r="A29" s="13" t="s">
        <v>110</v>
      </c>
      <c r="B29" s="16">
        <f>B25/B28</f>
        <v>0.0717409713778426</v>
      </c>
      <c r="C29" s="15" t="s">
        <v>99</v>
      </c>
    </row>
    <row r="30" spans="1:3">
      <c r="A30" s="13" t="s">
        <v>111</v>
      </c>
      <c r="B30" s="16">
        <f>B5/B28</f>
        <v>0.213514795767389</v>
      </c>
      <c r="C30" s="15" t="s">
        <v>112</v>
      </c>
    </row>
    <row r="31" spans="1:1">
      <c r="A31" s="12" t="s">
        <v>102</v>
      </c>
    </row>
    <row r="32" spans="1:3">
      <c r="A32" s="13" t="s">
        <v>3</v>
      </c>
      <c r="B32" s="16">
        <v>1.27</v>
      </c>
      <c r="C32" s="15" t="s">
        <v>104</v>
      </c>
    </row>
    <row r="33" spans="1:3">
      <c r="A33" s="13" t="s">
        <v>4</v>
      </c>
      <c r="B33" s="16">
        <v>0.112</v>
      </c>
      <c r="C33" s="15" t="s">
        <v>89</v>
      </c>
    </row>
    <row r="34" spans="1:3">
      <c r="A34" s="13" t="s">
        <v>105</v>
      </c>
      <c r="B34" s="16">
        <f>2*PI()/B32</f>
        <v>4.94739000565322</v>
      </c>
      <c r="C34" s="15" t="s">
        <v>106</v>
      </c>
    </row>
    <row r="35" spans="1:3">
      <c r="A35" s="13" t="s">
        <v>107</v>
      </c>
      <c r="B35" s="16">
        <f>(B34^2)/(9.81*TANH((B34^2)*B5/9.81))</f>
        <v>4.5058057326452</v>
      </c>
      <c r="C35" s="15" t="s">
        <v>108</v>
      </c>
    </row>
    <row r="36" spans="1:3">
      <c r="A36" s="13" t="s">
        <v>109</v>
      </c>
      <c r="B36" s="16">
        <f>2*PI()/B35</f>
        <v>1.39446431559555</v>
      </c>
      <c r="C36" s="15" t="s">
        <v>89</v>
      </c>
    </row>
    <row r="37" spans="1:3">
      <c r="A37" s="13" t="s">
        <v>110</v>
      </c>
      <c r="B37" s="16">
        <f>B33/B36</f>
        <v>0.0803175805557756</v>
      </c>
      <c r="C37" s="15" t="s">
        <v>99</v>
      </c>
    </row>
    <row r="38" spans="1:3">
      <c r="A38" s="13" t="s">
        <v>111</v>
      </c>
      <c r="B38" s="16">
        <f>B5/B36</f>
        <v>0.179280313740571</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74</v>
      </c>
      <c r="C45" s="20"/>
    </row>
    <row r="46" spans="1:3">
      <c r="A46" s="18" t="s">
        <v>2</v>
      </c>
      <c r="B46" s="19" t="s">
        <v>78</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46"/>
  <sheetViews>
    <sheetView workbookViewId="0">
      <selection activeCell="A45" sqref="A45:C46"/>
    </sheetView>
  </sheetViews>
  <sheetFormatPr defaultColWidth="8.8" defaultRowHeight="15.75" outlineLevelCol="5"/>
  <cols>
    <col min="1" max="1" width="17.1" customWidth="true"/>
  </cols>
  <sheetData>
    <row r="1" customFormat="true" spans="1:6">
      <c r="A1" t="s">
        <v>175</v>
      </c>
      <c r="F1" t="s">
        <v>176</v>
      </c>
    </row>
    <row r="2" spans="1:3">
      <c r="A2" s="1" t="s">
        <v>86</v>
      </c>
      <c r="B2" s="2"/>
      <c r="C2" s="2"/>
    </row>
    <row r="3" spans="1:3">
      <c r="A3" s="3" t="s">
        <v>88</v>
      </c>
      <c r="B3" s="4"/>
      <c r="C3" s="5" t="s">
        <v>89</v>
      </c>
    </row>
    <row r="4" spans="1:3">
      <c r="A4" s="3" t="s">
        <v>90</v>
      </c>
      <c r="B4" s="4">
        <v>0.4</v>
      </c>
      <c r="C4" s="5" t="s">
        <v>89</v>
      </c>
    </row>
    <row r="5" spans="1:3">
      <c r="A5" s="3" t="s">
        <v>91</v>
      </c>
      <c r="B5" s="4">
        <v>0.25</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t="e">
        <f t="shared" ref="B10:B13" si="0">B20/$B$19</f>
        <v>#DIV/0!</v>
      </c>
      <c r="C10" s="10" t="s">
        <v>89</v>
      </c>
    </row>
    <row r="11" spans="1:3">
      <c r="A11" s="8" t="s">
        <v>96</v>
      </c>
      <c r="B11" s="9" t="e">
        <f t="shared" si="0"/>
        <v>#DIV/0!</v>
      </c>
      <c r="C11" s="10" t="s">
        <v>89</v>
      </c>
    </row>
    <row r="12" spans="1:3">
      <c r="A12" s="8" t="s">
        <v>91</v>
      </c>
      <c r="B12" s="9" t="e">
        <f t="shared" si="0"/>
        <v>#DIV/0!</v>
      </c>
      <c r="C12" s="10" t="s">
        <v>89</v>
      </c>
    </row>
    <row r="13" spans="1:3">
      <c r="A13" s="8" t="s">
        <v>97</v>
      </c>
      <c r="B13" s="9" t="e">
        <f t="shared" si="0"/>
        <v>#DIV/0!</v>
      </c>
      <c r="C13" s="10" t="s">
        <v>89</v>
      </c>
    </row>
    <row r="14" spans="1:3">
      <c r="A14" s="8" t="s">
        <v>98</v>
      </c>
      <c r="B14" s="9" t="e">
        <f>B10/B11</f>
        <v>#DIV/0!</v>
      </c>
      <c r="C14" s="10" t="s">
        <v>99</v>
      </c>
    </row>
    <row r="15" spans="1:3">
      <c r="A15" s="8" t="s">
        <v>100</v>
      </c>
      <c r="B15" s="9" t="e">
        <f>B11/B13</f>
        <v>#DIV/0!</v>
      </c>
      <c r="C15" s="10" t="s">
        <v>99</v>
      </c>
    </row>
    <row r="16" spans="1:3">
      <c r="A16" s="8" t="s">
        <v>101</v>
      </c>
      <c r="B16" s="11">
        <v>0</v>
      </c>
      <c r="C16" s="10" t="s">
        <v>93</v>
      </c>
    </row>
    <row r="18" spans="1:3">
      <c r="A18" s="12" t="s">
        <v>102</v>
      </c>
      <c r="B18" s="2"/>
      <c r="C18" s="2"/>
    </row>
    <row r="19" spans="1:4">
      <c r="A19" s="13" t="s">
        <v>103</v>
      </c>
      <c r="B19" s="14"/>
      <c r="C19" s="15" t="s">
        <v>99</v>
      </c>
      <c r="D19" t="e">
        <f>1/B19</f>
        <v>#DIV/0!</v>
      </c>
    </row>
    <row r="20" spans="1:3">
      <c r="A20" s="13" t="s">
        <v>88</v>
      </c>
      <c r="B20" s="16">
        <v>0.5</v>
      </c>
      <c r="C20" s="15" t="s">
        <v>89</v>
      </c>
    </row>
    <row r="21" spans="1:3">
      <c r="A21" s="13" t="s">
        <v>96</v>
      </c>
      <c r="B21" s="16">
        <v>0.4</v>
      </c>
      <c r="C21" s="15" t="s">
        <v>89</v>
      </c>
    </row>
    <row r="22" spans="1:3">
      <c r="A22" s="13" t="s">
        <v>91</v>
      </c>
      <c r="B22" s="16">
        <v>0.2</v>
      </c>
      <c r="C22" s="15" t="s">
        <v>89</v>
      </c>
    </row>
    <row r="23" spans="1:3">
      <c r="A23" s="13" t="s">
        <v>97</v>
      </c>
      <c r="B23" s="16">
        <v>0.15</v>
      </c>
      <c r="C23" s="15" t="s">
        <v>89</v>
      </c>
    </row>
    <row r="24" spans="1:3">
      <c r="A24" s="13" t="s">
        <v>3</v>
      </c>
      <c r="B24" s="16">
        <v>0.98</v>
      </c>
      <c r="C24" s="15" t="s">
        <v>104</v>
      </c>
    </row>
    <row r="25" spans="1:3">
      <c r="A25" s="13" t="s">
        <v>4</v>
      </c>
      <c r="B25" s="16">
        <v>0.084</v>
      </c>
      <c r="C25" s="15" t="s">
        <v>89</v>
      </c>
    </row>
    <row r="26" spans="1:3">
      <c r="A26" s="13" t="s">
        <v>105</v>
      </c>
      <c r="B26" s="16">
        <f>2*PI()/B24</f>
        <v>6.41141357875468</v>
      </c>
      <c r="C26" s="15" t="s">
        <v>106</v>
      </c>
    </row>
    <row r="27" spans="1:3">
      <c r="A27" s="13" t="s">
        <v>107</v>
      </c>
      <c r="B27" s="16">
        <f>(B26^2)/(9.81*TANH((B26^2)*B5/9.81))</f>
        <v>5.36621211052442</v>
      </c>
      <c r="C27" s="15" t="s">
        <v>108</v>
      </c>
    </row>
    <row r="28" spans="1:3">
      <c r="A28" s="13" t="s">
        <v>109</v>
      </c>
      <c r="B28" s="16">
        <f>2*PI()/B27</f>
        <v>1.17087904424366</v>
      </c>
      <c r="C28" s="15" t="s">
        <v>89</v>
      </c>
    </row>
    <row r="29" spans="1:3">
      <c r="A29" s="13" t="s">
        <v>110</v>
      </c>
      <c r="B29" s="16">
        <f>B25/B28</f>
        <v>0.0717409713778426</v>
      </c>
      <c r="C29" s="15" t="s">
        <v>99</v>
      </c>
    </row>
    <row r="30" spans="1:3">
      <c r="A30" s="13" t="s">
        <v>111</v>
      </c>
      <c r="B30" s="16">
        <f>B5/B28</f>
        <v>0.213514795767389</v>
      </c>
      <c r="C30" s="15" t="s">
        <v>112</v>
      </c>
    </row>
    <row r="31" spans="1:1">
      <c r="A31" s="12" t="s">
        <v>102</v>
      </c>
    </row>
    <row r="32" spans="1:3">
      <c r="A32" s="13" t="s">
        <v>3</v>
      </c>
      <c r="B32" s="16">
        <v>1.27</v>
      </c>
      <c r="C32" s="15" t="s">
        <v>104</v>
      </c>
    </row>
    <row r="33" spans="1:3">
      <c r="A33" s="13" t="s">
        <v>4</v>
      </c>
      <c r="B33" s="16">
        <v>0.084</v>
      </c>
      <c r="C33" s="15" t="s">
        <v>89</v>
      </c>
    </row>
    <row r="34" spans="1:3">
      <c r="A34" s="13" t="s">
        <v>105</v>
      </c>
      <c r="B34" s="16">
        <f>2*PI()/B32</f>
        <v>4.94739000565322</v>
      </c>
      <c r="C34" s="15" t="s">
        <v>106</v>
      </c>
    </row>
    <row r="35" spans="1:3">
      <c r="A35" s="13" t="s">
        <v>107</v>
      </c>
      <c r="B35" s="16">
        <f>(B34^2)/(9.81*TANH((B34^2)*B5/9.81))</f>
        <v>4.5058057326452</v>
      </c>
      <c r="C35" s="15" t="s">
        <v>108</v>
      </c>
    </row>
    <row r="36" spans="1:3">
      <c r="A36" s="13" t="s">
        <v>109</v>
      </c>
      <c r="B36" s="16">
        <f>2*PI()/B35</f>
        <v>1.39446431559555</v>
      </c>
      <c r="C36" s="15" t="s">
        <v>89</v>
      </c>
    </row>
    <row r="37" spans="1:3">
      <c r="A37" s="13" t="s">
        <v>110</v>
      </c>
      <c r="B37" s="16">
        <f>B33/B36</f>
        <v>0.0602381854168317</v>
      </c>
      <c r="C37" s="15" t="s">
        <v>99</v>
      </c>
    </row>
    <row r="38" spans="1:3">
      <c r="A38" s="13" t="s">
        <v>111</v>
      </c>
      <c r="B38" s="16">
        <f>B5/B36</f>
        <v>0.179280313740571</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74</v>
      </c>
      <c r="C45" s="20"/>
    </row>
    <row r="46" spans="1:3">
      <c r="A46" s="18" t="s">
        <v>2</v>
      </c>
      <c r="B46" s="19" t="s">
        <v>78</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39" sqref="B39"/>
    </sheetView>
  </sheetViews>
  <sheetFormatPr defaultColWidth="8.8" defaultRowHeight="15.75" outlineLevelCol="3"/>
  <cols>
    <col min="1" max="1" width="17.1" customWidth="true"/>
  </cols>
  <sheetData>
    <row r="2" spans="1:3">
      <c r="A2" s="1" t="s">
        <v>86</v>
      </c>
      <c r="B2" s="2"/>
      <c r="C2" s="2"/>
    </row>
    <row r="3" spans="1:3">
      <c r="A3" s="3" t="s">
        <v>88</v>
      </c>
      <c r="B3" s="4"/>
      <c r="C3" s="5" t="s">
        <v>89</v>
      </c>
    </row>
    <row r="4" spans="1:3">
      <c r="A4" s="3" t="s">
        <v>90</v>
      </c>
      <c r="B4" s="4"/>
      <c r="C4" s="5" t="s">
        <v>89</v>
      </c>
    </row>
    <row r="5" spans="1:3">
      <c r="A5" s="3" t="s">
        <v>91</v>
      </c>
      <c r="B5" s="4"/>
      <c r="C5" s="5" t="s">
        <v>89</v>
      </c>
    </row>
    <row r="6" spans="1:3">
      <c r="A6" s="3" t="s">
        <v>92</v>
      </c>
      <c r="B6" s="4"/>
      <c r="C6" s="5" t="s">
        <v>93</v>
      </c>
    </row>
    <row r="7" spans="1:3">
      <c r="A7" s="3" t="s">
        <v>94</v>
      </c>
      <c r="B7" s="4"/>
      <c r="C7" s="5" t="s">
        <v>93</v>
      </c>
    </row>
    <row r="8" spans="1:3">
      <c r="A8" s="2"/>
      <c r="B8" s="2"/>
      <c r="C8" s="2"/>
    </row>
    <row r="9" spans="1:3">
      <c r="A9" s="6" t="s">
        <v>95</v>
      </c>
      <c r="B9" s="7"/>
      <c r="C9" s="7"/>
    </row>
    <row r="10" spans="1:3">
      <c r="A10" s="8" t="s">
        <v>88</v>
      </c>
      <c r="B10" s="9" t="e">
        <f t="shared" ref="B10:B13" si="0">B20/$B$19</f>
        <v>#DIV/0!</v>
      </c>
      <c r="C10" s="10" t="s">
        <v>89</v>
      </c>
    </row>
    <row r="11" spans="1:3">
      <c r="A11" s="8" t="s">
        <v>96</v>
      </c>
      <c r="B11" s="9" t="e">
        <f t="shared" si="0"/>
        <v>#DIV/0!</v>
      </c>
      <c r="C11" s="10" t="s">
        <v>89</v>
      </c>
    </row>
    <row r="12" spans="1:3">
      <c r="A12" s="8" t="s">
        <v>91</v>
      </c>
      <c r="B12" s="9" t="e">
        <f t="shared" si="0"/>
        <v>#DIV/0!</v>
      </c>
      <c r="C12" s="10" t="s">
        <v>89</v>
      </c>
    </row>
    <row r="13" spans="1:3">
      <c r="A13" s="8" t="s">
        <v>97</v>
      </c>
      <c r="B13" s="9" t="e">
        <f t="shared" si="0"/>
        <v>#DIV/0!</v>
      </c>
      <c r="C13" s="10" t="s">
        <v>89</v>
      </c>
    </row>
    <row r="14" spans="1:3">
      <c r="A14" s="8" t="s">
        <v>98</v>
      </c>
      <c r="B14" s="9" t="e">
        <f>B10/B11</f>
        <v>#DIV/0!</v>
      </c>
      <c r="C14" s="10" t="s">
        <v>99</v>
      </c>
    </row>
    <row r="15" spans="1:3">
      <c r="A15" s="8" t="s">
        <v>100</v>
      </c>
      <c r="B15" s="9" t="e">
        <f>B11/B13</f>
        <v>#DIV/0!</v>
      </c>
      <c r="C15" s="10" t="s">
        <v>99</v>
      </c>
    </row>
    <row r="16" spans="1:3">
      <c r="A16" s="8" t="s">
        <v>101</v>
      </c>
      <c r="B16" s="11"/>
      <c r="C16" s="10" t="s">
        <v>93</v>
      </c>
    </row>
    <row r="18" spans="1:3">
      <c r="A18" s="12" t="s">
        <v>102</v>
      </c>
      <c r="B18" s="2"/>
      <c r="C18" s="2"/>
    </row>
    <row r="19" spans="1:4">
      <c r="A19" s="13" t="s">
        <v>103</v>
      </c>
      <c r="B19" s="14"/>
      <c r="C19" s="15" t="s">
        <v>99</v>
      </c>
      <c r="D19" t="e">
        <f>1/B19</f>
        <v>#DIV/0!</v>
      </c>
    </row>
    <row r="20" spans="1:3">
      <c r="A20" s="13" t="s">
        <v>88</v>
      </c>
      <c r="B20" s="16"/>
      <c r="C20" s="15" t="s">
        <v>89</v>
      </c>
    </row>
    <row r="21" spans="1:3">
      <c r="A21" s="13" t="s">
        <v>96</v>
      </c>
      <c r="B21" s="16"/>
      <c r="C21" s="15" t="s">
        <v>89</v>
      </c>
    </row>
    <row r="22" spans="1:3">
      <c r="A22" s="13" t="s">
        <v>91</v>
      </c>
      <c r="B22" s="16"/>
      <c r="C22" s="15" t="s">
        <v>89</v>
      </c>
    </row>
    <row r="23" spans="1:3">
      <c r="A23" s="13" t="s">
        <v>97</v>
      </c>
      <c r="B23" s="16"/>
      <c r="C23" s="15" t="s">
        <v>89</v>
      </c>
    </row>
    <row r="24" spans="1:3">
      <c r="A24" s="13" t="s">
        <v>3</v>
      </c>
      <c r="B24" s="16"/>
      <c r="C24" s="15" t="s">
        <v>104</v>
      </c>
    </row>
    <row r="25" spans="1:3">
      <c r="A25" s="13" t="s">
        <v>4</v>
      </c>
      <c r="B25" s="16"/>
      <c r="C25" s="15" t="s">
        <v>89</v>
      </c>
    </row>
    <row r="26" spans="1:3">
      <c r="A26" s="13" t="s">
        <v>105</v>
      </c>
      <c r="B26" s="16" t="e">
        <f>2*PI()/B24</f>
        <v>#DIV/0!</v>
      </c>
      <c r="C26" s="15" t="s">
        <v>106</v>
      </c>
    </row>
    <row r="27" spans="1:3">
      <c r="A27" s="13" t="s">
        <v>107</v>
      </c>
      <c r="B27" s="16" t="e">
        <f>(B26^2)/(9.81*TANH((B26^2)*B5/9.81))</f>
        <v>#DIV/0!</v>
      </c>
      <c r="C27" s="15" t="s">
        <v>108</v>
      </c>
    </row>
    <row r="28" spans="1:3">
      <c r="A28" s="13" t="s">
        <v>109</v>
      </c>
      <c r="B28" s="16" t="e">
        <f>2*PI()/B27</f>
        <v>#DIV/0!</v>
      </c>
      <c r="C28" s="15" t="s">
        <v>89</v>
      </c>
    </row>
    <row r="29" spans="1:3">
      <c r="A29" s="13" t="s">
        <v>110</v>
      </c>
      <c r="B29" s="16" t="e">
        <f>B25/B28</f>
        <v>#DIV/0!</v>
      </c>
      <c r="C29" s="15" t="s">
        <v>99</v>
      </c>
    </row>
    <row r="30" spans="1:3">
      <c r="A30" s="13" t="s">
        <v>111</v>
      </c>
      <c r="B30" s="16" t="e">
        <f>B5/B28</f>
        <v>#DIV/0!</v>
      </c>
      <c r="C30" s="15" t="s">
        <v>112</v>
      </c>
    </row>
    <row r="31" spans="1:1">
      <c r="A31" s="12" t="s">
        <v>102</v>
      </c>
    </row>
    <row r="32" spans="1:3">
      <c r="A32" s="13" t="s">
        <v>3</v>
      </c>
      <c r="B32" s="16"/>
      <c r="C32" s="15" t="s">
        <v>104</v>
      </c>
    </row>
    <row r="33" spans="1:3">
      <c r="A33" s="13" t="s">
        <v>4</v>
      </c>
      <c r="B33" s="16"/>
      <c r="C33" s="15" t="s">
        <v>89</v>
      </c>
    </row>
    <row r="34" spans="1:3">
      <c r="A34" s="13" t="s">
        <v>105</v>
      </c>
      <c r="B34" s="16" t="e">
        <f>2*PI()/B32</f>
        <v>#DIV/0!</v>
      </c>
      <c r="C34" s="15" t="s">
        <v>106</v>
      </c>
    </row>
    <row r="35" spans="1:3">
      <c r="A35" s="13" t="s">
        <v>107</v>
      </c>
      <c r="B35" s="16" t="e">
        <f>(B34^2)/(9.81*TANH((B34^2)*B5/9.81))</f>
        <v>#DIV/0!</v>
      </c>
      <c r="C35" s="15" t="s">
        <v>108</v>
      </c>
    </row>
    <row r="36" spans="1:3">
      <c r="A36" s="13" t="s">
        <v>109</v>
      </c>
      <c r="B36" s="16" t="e">
        <f>2*PI()/B35</f>
        <v>#DIV/0!</v>
      </c>
      <c r="C36" s="15" t="s">
        <v>89</v>
      </c>
    </row>
    <row r="37" spans="1:3">
      <c r="A37" s="13" t="s">
        <v>110</v>
      </c>
      <c r="B37" s="16" t="e">
        <f>B33/B36</f>
        <v>#DIV/0!</v>
      </c>
      <c r="C37" s="15" t="s">
        <v>99</v>
      </c>
    </row>
    <row r="38" spans="1:3">
      <c r="A38" s="13" t="s">
        <v>111</v>
      </c>
      <c r="B38" s="16" t="e">
        <f>B5/B36</f>
        <v>#DIV/0!</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c r="C45" s="20"/>
    </row>
    <row r="46" spans="1:3">
      <c r="A46" s="18" t="s">
        <v>2</v>
      </c>
      <c r="B46" s="19"/>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2" priority="6" operator="lessThan">
      <formula>0.5</formula>
    </cfRule>
    <cfRule type="cellIs" dxfId="1" priority="7" operator="between">
      <formula>0.5</formula>
      <formula>0.05</formula>
    </cfRule>
  </conditionalFormatting>
  <conditionalFormatting sqref="B34">
    <cfRule type="cellIs" dxfId="0" priority="1" operator="greaterThan">
      <formula>$C$6/2.5</formula>
    </cfRule>
  </conditionalFormatting>
  <conditionalFormatting sqref="B38">
    <cfRule type="cellIs" dxfId="2" priority="4" operator="lessThan">
      <formula>0.5</formula>
    </cfRule>
    <cfRule type="cellIs" dxfId="1" priority="5" operator="between">
      <formula>0.5</formula>
      <formula>0.05</formula>
    </cfRule>
  </conditionalFormatting>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52"/>
  <sheetViews>
    <sheetView topLeftCell="A19" workbookViewId="0">
      <selection activeCell="A45" sqref="A45:C46"/>
    </sheetView>
  </sheetViews>
  <sheetFormatPr defaultColWidth="8.8" defaultRowHeight="15.75" outlineLevelCol="3"/>
  <cols>
    <col min="1" max="1" width="17.1" customWidth="true"/>
    <col min="2" max="2" width="10.6" customWidth="true"/>
  </cols>
  <sheetData>
    <row r="1" spans="1:3">
      <c r="A1" t="s">
        <v>118</v>
      </c>
      <c r="C1" t="s">
        <v>119</v>
      </c>
    </row>
    <row r="2" spans="1:3">
      <c r="A2" s="1" t="s">
        <v>86</v>
      </c>
      <c r="B2" s="2"/>
      <c r="C2" s="2"/>
    </row>
    <row r="3" spans="1:3">
      <c r="A3" s="3" t="s">
        <v>88</v>
      </c>
      <c r="B3" s="4"/>
      <c r="C3" s="5" t="s">
        <v>89</v>
      </c>
    </row>
    <row r="4" spans="1:3">
      <c r="A4" s="3" t="s">
        <v>90</v>
      </c>
      <c r="B4" s="4"/>
      <c r="C4" s="5" t="s">
        <v>89</v>
      </c>
    </row>
    <row r="5" spans="1:3">
      <c r="A5" s="3" t="s">
        <v>91</v>
      </c>
      <c r="B5" s="4">
        <v>2</v>
      </c>
      <c r="C5" s="5" t="s">
        <v>89</v>
      </c>
    </row>
    <row r="6" spans="1:3">
      <c r="A6" s="3" t="s">
        <v>92</v>
      </c>
      <c r="B6" s="28">
        <v>0.495227220576575</v>
      </c>
      <c r="C6" s="5" t="s">
        <v>93</v>
      </c>
    </row>
    <row r="7" spans="1:3">
      <c r="A7" s="3" t="s">
        <v>94</v>
      </c>
      <c r="B7" s="28">
        <f>0.3*SQRT(9.81*B20)</f>
        <v>1.48568166172973</v>
      </c>
      <c r="C7" s="5" t="s">
        <v>93</v>
      </c>
    </row>
    <row r="8" spans="1:3">
      <c r="A8" s="2"/>
      <c r="B8" s="2"/>
      <c r="C8" s="2"/>
    </row>
    <row r="9" spans="1:3">
      <c r="A9" s="6" t="s">
        <v>95</v>
      </c>
      <c r="B9" s="7"/>
      <c r="C9" s="7"/>
    </row>
    <row r="10" spans="1:3">
      <c r="A10" s="8" t="s">
        <v>88</v>
      </c>
      <c r="B10" s="9">
        <v>175</v>
      </c>
      <c r="C10" s="10" t="s">
        <v>89</v>
      </c>
    </row>
    <row r="11" spans="1:3">
      <c r="A11" s="8" t="s">
        <v>96</v>
      </c>
      <c r="B11" s="9">
        <v>25.4</v>
      </c>
      <c r="C11" s="10" t="s">
        <v>89</v>
      </c>
    </row>
    <row r="12" spans="1:3">
      <c r="A12" s="8" t="s">
        <v>91</v>
      </c>
      <c r="B12" s="9">
        <f>B13*0.4</f>
        <v>3.8</v>
      </c>
      <c r="C12" s="10" t="s">
        <v>89</v>
      </c>
    </row>
    <row r="13" spans="1:3">
      <c r="A13" s="8" t="s">
        <v>97</v>
      </c>
      <c r="B13" s="9">
        <v>9.5</v>
      </c>
      <c r="C13" s="10" t="s">
        <v>89</v>
      </c>
    </row>
    <row r="14" spans="1:3">
      <c r="A14" s="8" t="s">
        <v>98</v>
      </c>
      <c r="B14" s="24">
        <f>B10/B11</f>
        <v>6.88976377952756</v>
      </c>
      <c r="C14" s="10" t="s">
        <v>99</v>
      </c>
    </row>
    <row r="15" spans="1:3">
      <c r="A15" s="8" t="s">
        <v>100</v>
      </c>
      <c r="B15" s="24">
        <f>B11/B13</f>
        <v>2.67368421052632</v>
      </c>
      <c r="C15" s="10" t="s">
        <v>99</v>
      </c>
    </row>
    <row r="16" spans="1:3">
      <c r="A16" s="8" t="s">
        <v>101</v>
      </c>
      <c r="B16" s="11">
        <f>B7/SQRT(B19)</f>
        <v>12.4301045852398</v>
      </c>
      <c r="C16" s="10" t="s">
        <v>93</v>
      </c>
    </row>
    <row r="18" spans="1:3">
      <c r="A18" s="12" t="s">
        <v>102</v>
      </c>
      <c r="B18" s="2"/>
      <c r="C18" s="2"/>
    </row>
    <row r="19" spans="1:4">
      <c r="A19" s="13" t="s">
        <v>103</v>
      </c>
      <c r="B19" s="14">
        <f>1/70</f>
        <v>0.0142857142857143</v>
      </c>
      <c r="C19" s="15" t="s">
        <v>99</v>
      </c>
      <c r="D19">
        <f>1/B19</f>
        <v>70</v>
      </c>
    </row>
    <row r="20" spans="1:3">
      <c r="A20" s="13" t="s">
        <v>88</v>
      </c>
      <c r="B20" s="16">
        <f>B10*$B$19</f>
        <v>2.5</v>
      </c>
      <c r="C20" s="15" t="s">
        <v>89</v>
      </c>
    </row>
    <row r="21" spans="1:3">
      <c r="A21" s="13" t="s">
        <v>96</v>
      </c>
      <c r="B21" s="16">
        <f>B11*$B$19</f>
        <v>0.362857142857143</v>
      </c>
      <c r="C21" s="15" t="s">
        <v>89</v>
      </c>
    </row>
    <row r="22" spans="1:3">
      <c r="A22" s="13" t="s">
        <v>91</v>
      </c>
      <c r="B22" s="16">
        <f>B12*$B$19</f>
        <v>0.0542857142857143</v>
      </c>
      <c r="C22" s="15" t="s">
        <v>89</v>
      </c>
    </row>
    <row r="23" spans="1:3">
      <c r="A23" s="13" t="s">
        <v>97</v>
      </c>
      <c r="B23" s="16">
        <f>B13*$B$19</f>
        <v>0.135714285714286</v>
      </c>
      <c r="C23" s="15" t="s">
        <v>89</v>
      </c>
    </row>
    <row r="24" spans="1:3">
      <c r="A24" s="13" t="s">
        <v>3</v>
      </c>
      <c r="B24" s="16">
        <f>8*SQRT(B19)</f>
        <v>0.956182887467515</v>
      </c>
      <c r="C24" s="15" t="s">
        <v>104</v>
      </c>
    </row>
    <row r="25" spans="1:3">
      <c r="A25" s="13" t="s">
        <v>4</v>
      </c>
      <c r="B25" s="16">
        <f>6*SQRT(B19)</f>
        <v>0.717137165600636</v>
      </c>
      <c r="C25" s="15" t="s">
        <v>89</v>
      </c>
    </row>
    <row r="26" spans="1:3">
      <c r="A26" s="13" t="s">
        <v>105</v>
      </c>
      <c r="B26" s="16">
        <f>2*PI()/B24</f>
        <v>6.57111248227923</v>
      </c>
      <c r="C26" s="15" t="s">
        <v>106</v>
      </c>
    </row>
    <row r="27" spans="1:3">
      <c r="A27" s="13" t="s">
        <v>107</v>
      </c>
      <c r="B27" s="16">
        <f>(B26^2)/(9.81*TANH((B26^2)*B5/9.81))</f>
        <v>4.40158218190684</v>
      </c>
      <c r="C27" s="15" t="s">
        <v>108</v>
      </c>
    </row>
    <row r="28" spans="1:3">
      <c r="A28" s="13" t="s">
        <v>109</v>
      </c>
      <c r="B28" s="16">
        <f>2*PI()/B27</f>
        <v>1.42748335655467</v>
      </c>
      <c r="C28" s="15" t="s">
        <v>89</v>
      </c>
    </row>
    <row r="29" spans="1:3">
      <c r="A29" s="13" t="s">
        <v>110</v>
      </c>
      <c r="B29" s="16">
        <f>B25/B28</f>
        <v>0.502378652828218</v>
      </c>
      <c r="C29" s="15" t="s">
        <v>99</v>
      </c>
    </row>
    <row r="30" spans="1:3">
      <c r="A30" s="13" t="s">
        <v>111</v>
      </c>
      <c r="B30" s="16">
        <f>B5/B28</f>
        <v>1.40106712335137</v>
      </c>
      <c r="C30" s="15" t="s">
        <v>112</v>
      </c>
    </row>
    <row r="31" spans="1:1">
      <c r="A31" s="12" t="s">
        <v>102</v>
      </c>
    </row>
    <row r="32" spans="1:3">
      <c r="A32" s="13" t="s">
        <v>3</v>
      </c>
      <c r="B32" s="16">
        <f>12*SQRT(B19)</f>
        <v>1.43427433120127</v>
      </c>
      <c r="C32" s="15" t="s">
        <v>104</v>
      </c>
    </row>
    <row r="33" spans="1:3">
      <c r="A33" s="13" t="s">
        <v>4</v>
      </c>
      <c r="B33" s="16">
        <f>8*B19</f>
        <v>0.114285714285714</v>
      </c>
      <c r="C33" s="15" t="s">
        <v>89</v>
      </c>
    </row>
    <row r="34" spans="1:3">
      <c r="A34" s="13" t="s">
        <v>105</v>
      </c>
      <c r="B34" s="16">
        <f>2*PI()/B32</f>
        <v>4.38074165485282</v>
      </c>
      <c r="C34" s="15" t="s">
        <v>106</v>
      </c>
    </row>
    <row r="35" spans="1:3">
      <c r="A35" s="13" t="s">
        <v>107</v>
      </c>
      <c r="B35" s="16">
        <f>(B34^2)/(9.81*TANH((B34^2)*B5/9.81))</f>
        <v>1.95782274468225</v>
      </c>
      <c r="C35" s="15" t="s">
        <v>108</v>
      </c>
    </row>
    <row r="36" spans="1:3">
      <c r="A36" s="13" t="s">
        <v>109</v>
      </c>
      <c r="B36" s="16">
        <f>2*PI()/B35</f>
        <v>3.20927179145594</v>
      </c>
      <c r="C36" s="15" t="s">
        <v>89</v>
      </c>
    </row>
    <row r="37" spans="1:3">
      <c r="A37" s="13" t="s">
        <v>110</v>
      </c>
      <c r="B37" s="16">
        <f>B33/B36</f>
        <v>0.035611104858734</v>
      </c>
      <c r="C37" s="15" t="s">
        <v>99</v>
      </c>
    </row>
    <row r="38" spans="1:3">
      <c r="A38" s="13" t="s">
        <v>111</v>
      </c>
      <c r="B38" s="16">
        <f>B5/B36</f>
        <v>0.623194335027844</v>
      </c>
      <c r="C38" s="15" t="s">
        <v>112</v>
      </c>
    </row>
    <row r="40" spans="1:1">
      <c r="A40" s="17" t="s">
        <v>113</v>
      </c>
    </row>
    <row r="41" spans="1:3">
      <c r="A41" s="18" t="s">
        <v>120</v>
      </c>
      <c r="B41" s="19">
        <v>0.053</v>
      </c>
      <c r="C41" s="20"/>
    </row>
    <row r="42" spans="1:3">
      <c r="A42" s="18" t="s">
        <v>121</v>
      </c>
      <c r="B42" s="19">
        <v>0.057</v>
      </c>
      <c r="C42" s="20"/>
    </row>
    <row r="43" spans="1:3">
      <c r="A43" s="18"/>
      <c r="B43" s="19"/>
      <c r="C43" s="20"/>
    </row>
    <row r="44" spans="1:3">
      <c r="A44" s="18"/>
      <c r="B44" s="19"/>
      <c r="C44" s="20"/>
    </row>
    <row r="45" spans="1:3">
      <c r="A45" s="18" t="s">
        <v>117</v>
      </c>
      <c r="B45" s="19" t="s">
        <v>77</v>
      </c>
      <c r="C45" s="20"/>
    </row>
    <row r="46" spans="1:3">
      <c r="A46" s="18" t="s">
        <v>2</v>
      </c>
      <c r="B46" s="19" t="s">
        <v>83</v>
      </c>
      <c r="C46" s="20"/>
    </row>
    <row r="52" spans="3:3">
      <c r="C52" t="s">
        <v>122</v>
      </c>
    </row>
  </sheetData>
  <conditionalFormatting sqref="B26">
    <cfRule type="cellIs" dxfId="0" priority="2" operator="greaterThan">
      <formula>$C$6/2.5</formula>
    </cfRule>
  </conditionalFormatting>
  <conditionalFormatting sqref="B30">
    <cfRule type="cellIs" dxfId="2" priority="6" operator="lessThan">
      <formula>0.5</formula>
    </cfRule>
    <cfRule type="cellIs" dxfId="1" priority="7" operator="between">
      <formula>0.5</formula>
      <formula>0.05</formula>
    </cfRule>
  </conditionalFormatting>
  <conditionalFormatting sqref="B34">
    <cfRule type="cellIs" dxfId="0" priority="1" operator="greaterThan">
      <formula>$C$6/2.5</formula>
    </cfRule>
  </conditionalFormatting>
  <conditionalFormatting sqref="B38">
    <cfRule type="cellIs" dxfId="2" priority="4" operator="lessThan">
      <formula>0.5</formula>
    </cfRule>
    <cfRule type="cellIs" dxfId="1" priority="5" operator="between">
      <formula>0.5</formula>
      <formula>0.05</formula>
    </cfRule>
  </conditionalFormatting>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7" workbookViewId="0">
      <selection activeCell="B47" sqref="B47"/>
    </sheetView>
  </sheetViews>
  <sheetFormatPr defaultColWidth="8.8" defaultRowHeight="15.75" outlineLevelCol="3"/>
  <cols>
    <col min="1" max="1" width="17.1" customWidth="true"/>
  </cols>
  <sheetData>
    <row r="1" customFormat="true" spans="1:3">
      <c r="A1" t="s">
        <v>123</v>
      </c>
      <c r="C1" t="s">
        <v>124</v>
      </c>
    </row>
    <row r="2" spans="1:3">
      <c r="A2" s="1" t="s">
        <v>86</v>
      </c>
      <c r="B2" s="2"/>
      <c r="C2" s="2"/>
    </row>
    <row r="3" spans="1:3">
      <c r="A3" s="3" t="s">
        <v>88</v>
      </c>
      <c r="B3" s="4"/>
      <c r="C3" s="5" t="s">
        <v>89</v>
      </c>
    </row>
    <row r="4" spans="1:3">
      <c r="A4" s="3" t="s">
        <v>90</v>
      </c>
      <c r="B4" s="4"/>
      <c r="C4" s="5" t="s">
        <v>89</v>
      </c>
    </row>
    <row r="5" spans="1:3">
      <c r="A5" s="3" t="s">
        <v>91</v>
      </c>
      <c r="B5" s="4">
        <v>380</v>
      </c>
      <c r="C5" s="5" t="s">
        <v>89</v>
      </c>
    </row>
    <row r="6" spans="1:3">
      <c r="A6" s="3" t="s">
        <v>92</v>
      </c>
      <c r="B6" s="4"/>
      <c r="C6" s="5" t="s">
        <v>93</v>
      </c>
    </row>
    <row r="7" spans="1:3">
      <c r="A7" s="3" t="s">
        <v>94</v>
      </c>
      <c r="B7" s="4"/>
      <c r="C7" s="5" t="s">
        <v>93</v>
      </c>
    </row>
    <row r="8" spans="1:3">
      <c r="A8" s="2"/>
      <c r="B8" s="2"/>
      <c r="C8" s="2"/>
    </row>
    <row r="9" spans="1:3">
      <c r="A9" s="6" t="s">
        <v>95</v>
      </c>
      <c r="B9" s="7"/>
      <c r="C9" s="7"/>
    </row>
    <row r="10" spans="1:3">
      <c r="A10" s="8" t="s">
        <v>88</v>
      </c>
      <c r="B10" s="9">
        <v>242</v>
      </c>
      <c r="C10" s="10" t="s">
        <v>89</v>
      </c>
    </row>
    <row r="11" spans="1:3">
      <c r="A11" s="8" t="s">
        <v>96</v>
      </c>
      <c r="B11" s="9">
        <f t="shared" ref="B10:B13" si="0">B21/$B$19</f>
        <v>0</v>
      </c>
      <c r="C11" s="10" t="s">
        <v>89</v>
      </c>
    </row>
    <row r="12" spans="1:3">
      <c r="A12" s="8" t="s">
        <v>91</v>
      </c>
      <c r="B12" s="9">
        <f t="shared" si="0"/>
        <v>0</v>
      </c>
      <c r="C12" s="10" t="s">
        <v>89</v>
      </c>
    </row>
    <row r="13" spans="1:3">
      <c r="A13" s="8" t="s">
        <v>97</v>
      </c>
      <c r="B13" s="9">
        <f t="shared" si="0"/>
        <v>0</v>
      </c>
      <c r="C13" s="10" t="s">
        <v>89</v>
      </c>
    </row>
    <row r="14" spans="1:3">
      <c r="A14" s="8" t="s">
        <v>98</v>
      </c>
      <c r="B14" s="9" t="e">
        <f>B10/B11</f>
        <v>#DIV/0!</v>
      </c>
      <c r="C14" s="10" t="s">
        <v>99</v>
      </c>
    </row>
    <row r="15" spans="1:3">
      <c r="A15" s="8" t="s">
        <v>100</v>
      </c>
      <c r="B15" s="9" t="e">
        <f>B11/B13</f>
        <v>#DIV/0!</v>
      </c>
      <c r="C15" s="10" t="s">
        <v>99</v>
      </c>
    </row>
    <row r="16" spans="1:3">
      <c r="A16" s="8" t="s">
        <v>101</v>
      </c>
      <c r="B16" s="11"/>
      <c r="C16" s="10" t="s">
        <v>93</v>
      </c>
    </row>
    <row r="18" spans="1:3">
      <c r="A18" s="12" t="s">
        <v>102</v>
      </c>
      <c r="B18" s="2"/>
      <c r="C18" s="2"/>
    </row>
    <row r="19" spans="1:4">
      <c r="A19" s="13" t="s">
        <v>103</v>
      </c>
      <c r="B19" s="14">
        <v>1</v>
      </c>
      <c r="C19" s="15" t="s">
        <v>99</v>
      </c>
      <c r="D19">
        <f>1/B19</f>
        <v>1</v>
      </c>
    </row>
    <row r="20" spans="1:3">
      <c r="A20" s="13" t="s">
        <v>88</v>
      </c>
      <c r="B20" s="16">
        <f>B10</f>
        <v>242</v>
      </c>
      <c r="C20" s="15" t="s">
        <v>89</v>
      </c>
    </row>
    <row r="21" spans="1:3">
      <c r="A21" s="13" t="s">
        <v>96</v>
      </c>
      <c r="B21" s="16"/>
      <c r="C21" s="15" t="s">
        <v>89</v>
      </c>
    </row>
    <row r="22" spans="1:3">
      <c r="A22" s="13" t="s">
        <v>91</v>
      </c>
      <c r="B22" s="16"/>
      <c r="C22" s="15" t="s">
        <v>89</v>
      </c>
    </row>
    <row r="23" spans="1:3">
      <c r="A23" s="13" t="s">
        <v>97</v>
      </c>
      <c r="B23" s="16"/>
      <c r="C23" s="15" t="s">
        <v>89</v>
      </c>
    </row>
    <row r="24" spans="1:3">
      <c r="A24" s="13" t="s">
        <v>3</v>
      </c>
      <c r="B24" s="16">
        <v>13</v>
      </c>
      <c r="C24" s="15" t="s">
        <v>104</v>
      </c>
    </row>
    <row r="25" spans="1:3">
      <c r="A25" s="13" t="s">
        <v>4</v>
      </c>
      <c r="B25" s="16">
        <v>7.5</v>
      </c>
      <c r="C25" s="15" t="s">
        <v>89</v>
      </c>
    </row>
    <row r="26" spans="1:3">
      <c r="A26" s="13" t="s">
        <v>105</v>
      </c>
      <c r="B26" s="16">
        <f>2*PI()/B24</f>
        <v>0.483321946706122</v>
      </c>
      <c r="C26" s="15" t="s">
        <v>106</v>
      </c>
    </row>
    <row r="27" spans="1:3">
      <c r="A27" s="13" t="s">
        <v>107</v>
      </c>
      <c r="B27" s="16">
        <f>(B26^2)/(9.81*TANH((B26^2)*B5/9.81))</f>
        <v>0.0238124475660038</v>
      </c>
      <c r="C27" s="15" t="s">
        <v>108</v>
      </c>
    </row>
    <row r="28" spans="1:3">
      <c r="A28" s="13" t="s">
        <v>109</v>
      </c>
      <c r="B28" s="16">
        <f>2*PI()/B27</f>
        <v>263.861381311759</v>
      </c>
      <c r="C28" s="15" t="s">
        <v>89</v>
      </c>
    </row>
    <row r="29" spans="1:3">
      <c r="A29" s="13" t="s">
        <v>110</v>
      </c>
      <c r="B29" s="16">
        <f>B25/B28</f>
        <v>0.0284240155293455</v>
      </c>
      <c r="C29" s="15" t="s">
        <v>99</v>
      </c>
    </row>
    <row r="30" spans="1:3">
      <c r="A30" s="13" t="s">
        <v>111</v>
      </c>
      <c r="B30" s="16">
        <f>B5/B28</f>
        <v>1.44015012015351</v>
      </c>
      <c r="C30" s="15" t="s">
        <v>112</v>
      </c>
    </row>
    <row r="31" spans="1:1">
      <c r="A31" s="12" t="s">
        <v>102</v>
      </c>
    </row>
    <row r="32" spans="1:3">
      <c r="A32" s="13" t="s">
        <v>3</v>
      </c>
      <c r="B32" s="16">
        <v>12</v>
      </c>
      <c r="C32" s="15" t="s">
        <v>104</v>
      </c>
    </row>
    <row r="33" spans="1:3">
      <c r="A33" s="13" t="s">
        <v>4</v>
      </c>
      <c r="B33" s="16">
        <v>7</v>
      </c>
      <c r="C33" s="15" t="s">
        <v>89</v>
      </c>
    </row>
    <row r="34" spans="1:3">
      <c r="A34" s="13" t="s">
        <v>105</v>
      </c>
      <c r="B34" s="16">
        <f>2*PI()/B32</f>
        <v>0.523598775598299</v>
      </c>
      <c r="C34" s="15" t="s">
        <v>106</v>
      </c>
    </row>
    <row r="35" spans="1:3">
      <c r="A35" s="13" t="s">
        <v>107</v>
      </c>
      <c r="B35" s="16">
        <f>(B34^2)/(9.81*TANH((B34^2)*B5/9.81))</f>
        <v>0.0279465523073689</v>
      </c>
      <c r="C35" s="15" t="s">
        <v>108</v>
      </c>
    </row>
    <row r="36" spans="1:3">
      <c r="A36" s="13" t="s">
        <v>109</v>
      </c>
      <c r="B36" s="16">
        <f>2*PI()/B35</f>
        <v>224.828638540964</v>
      </c>
      <c r="C36" s="15" t="s">
        <v>89</v>
      </c>
    </row>
    <row r="37" spans="1:3">
      <c r="A37" s="13" t="s">
        <v>110</v>
      </c>
      <c r="B37" s="16">
        <f>B33/B36</f>
        <v>0.0311348235946579</v>
      </c>
      <c r="C37" s="15" t="s">
        <v>99</v>
      </c>
    </row>
    <row r="38" spans="1:3">
      <c r="A38" s="13" t="s">
        <v>111</v>
      </c>
      <c r="B38" s="16">
        <f>B5/B36</f>
        <v>1.69017613799571</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77</v>
      </c>
      <c r="C45" s="20"/>
    </row>
    <row r="46" spans="1:3">
      <c r="A46" s="18" t="s">
        <v>2</v>
      </c>
      <c r="B46" s="19" t="s">
        <v>75</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21" sqref="B21"/>
    </sheetView>
  </sheetViews>
  <sheetFormatPr defaultColWidth="8.8" defaultRowHeight="15.75" outlineLevelCol="3"/>
  <cols>
    <col min="1" max="1" width="17.1" customWidth="true"/>
    <col min="2" max="2" width="8.7" customWidth="true"/>
  </cols>
  <sheetData>
    <row r="2" spans="1:3">
      <c r="A2" s="1" t="s">
        <v>86</v>
      </c>
      <c r="B2" s="2"/>
      <c r="C2" s="2"/>
    </row>
    <row r="3" spans="1:3">
      <c r="A3" s="3" t="s">
        <v>88</v>
      </c>
      <c r="B3" s="4">
        <v>80</v>
      </c>
      <c r="C3" s="5" t="s">
        <v>89</v>
      </c>
    </row>
    <row r="4" spans="1:3">
      <c r="A4" s="3" t="s">
        <v>90</v>
      </c>
      <c r="B4" s="4">
        <v>50</v>
      </c>
      <c r="C4" s="5" t="s">
        <v>89</v>
      </c>
    </row>
    <row r="5" spans="1:3">
      <c r="A5" s="3" t="s">
        <v>91</v>
      </c>
      <c r="B5" s="28">
        <f>84*B19</f>
        <v>1.52727272727273</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v>200</v>
      </c>
      <c r="C10" s="10" t="s">
        <v>89</v>
      </c>
    </row>
    <row r="11" spans="1:3">
      <c r="A11" s="8" t="s">
        <v>96</v>
      </c>
      <c r="B11" s="9">
        <f t="shared" ref="B10:B13" si="0">B21/$B$19</f>
        <v>0</v>
      </c>
      <c r="C11" s="10" t="s">
        <v>89</v>
      </c>
    </row>
    <row r="12" spans="1:3">
      <c r="A12" s="8" t="s">
        <v>91</v>
      </c>
      <c r="B12" s="9">
        <f t="shared" si="0"/>
        <v>0</v>
      </c>
      <c r="C12" s="10" t="s">
        <v>89</v>
      </c>
    </row>
    <row r="13" spans="1:3">
      <c r="A13" s="8" t="s">
        <v>97</v>
      </c>
      <c r="B13" s="9">
        <f t="shared" si="0"/>
        <v>0</v>
      </c>
      <c r="C13" s="10" t="s">
        <v>89</v>
      </c>
    </row>
    <row r="14" spans="1:3">
      <c r="A14" s="8" t="s">
        <v>98</v>
      </c>
      <c r="B14" s="9" t="e">
        <f>B10/B11</f>
        <v>#DIV/0!</v>
      </c>
      <c r="C14" s="10" t="s">
        <v>99</v>
      </c>
    </row>
    <row r="15" spans="1:3">
      <c r="A15" s="8" t="s">
        <v>100</v>
      </c>
      <c r="B15" s="9" t="e">
        <f>B11/B13</f>
        <v>#DIV/0!</v>
      </c>
      <c r="C15" s="10" t="s">
        <v>99</v>
      </c>
    </row>
    <row r="16" spans="1:3">
      <c r="A16" s="8" t="s">
        <v>101</v>
      </c>
      <c r="B16" s="11">
        <v>0</v>
      </c>
      <c r="C16" s="10" t="s">
        <v>93</v>
      </c>
    </row>
    <row r="17" customFormat="true"/>
    <row r="18" spans="1:3">
      <c r="A18" s="12" t="s">
        <v>102</v>
      </c>
      <c r="B18" s="2"/>
      <c r="C18" s="2"/>
    </row>
    <row r="19" spans="1:4">
      <c r="A19" s="13" t="s">
        <v>103</v>
      </c>
      <c r="B19" s="14">
        <f>1/55</f>
        <v>0.0181818181818182</v>
      </c>
      <c r="C19" s="15" t="s">
        <v>99</v>
      </c>
      <c r="D19">
        <f>1/B19</f>
        <v>55</v>
      </c>
    </row>
    <row r="20" spans="1:3">
      <c r="A20" s="13" t="s">
        <v>88</v>
      </c>
      <c r="B20" s="16">
        <f>B10*B19</f>
        <v>3.63636363636364</v>
      </c>
      <c r="C20" s="15" t="s">
        <v>89</v>
      </c>
    </row>
    <row r="21" spans="1:3">
      <c r="A21" s="13" t="s">
        <v>96</v>
      </c>
      <c r="B21" s="16"/>
      <c r="C21" s="15" t="s">
        <v>89</v>
      </c>
    </row>
    <row r="22" spans="1:3">
      <c r="A22" s="13" t="s">
        <v>91</v>
      </c>
      <c r="B22" s="16"/>
      <c r="C22" s="15" t="s">
        <v>89</v>
      </c>
    </row>
    <row r="23" spans="1:3">
      <c r="A23" s="13" t="s">
        <v>97</v>
      </c>
      <c r="B23" s="16"/>
      <c r="C23" s="15" t="s">
        <v>89</v>
      </c>
    </row>
    <row r="24" spans="1:3">
      <c r="A24" s="13" t="s">
        <v>3</v>
      </c>
      <c r="B24" s="16">
        <f>12*SQRT(B19)</f>
        <v>1.61807966991178</v>
      </c>
      <c r="C24" s="15" t="s">
        <v>104</v>
      </c>
    </row>
    <row r="25" spans="1:3">
      <c r="A25" s="13" t="s">
        <v>4</v>
      </c>
      <c r="B25" s="16">
        <f>10*B19</f>
        <v>0.181818181818182</v>
      </c>
      <c r="C25" s="15" t="s">
        <v>89</v>
      </c>
    </row>
    <row r="26" spans="1:3">
      <c r="A26" s="13" t="s">
        <v>105</v>
      </c>
      <c r="B26" s="16">
        <f>2*PI()/B24</f>
        <v>3.88311244743725</v>
      </c>
      <c r="C26" s="15" t="s">
        <v>106</v>
      </c>
    </row>
    <row r="27" spans="1:3">
      <c r="A27" s="13" t="s">
        <v>107</v>
      </c>
      <c r="B27" s="16">
        <f>(B26^2)/(9.81*TANH((B26^2)*B5/9.81))</f>
        <v>1.5654191394656</v>
      </c>
      <c r="C27" s="15" t="s">
        <v>108</v>
      </c>
    </row>
    <row r="28" spans="1:3">
      <c r="A28" s="13" t="s">
        <v>109</v>
      </c>
      <c r="B28" s="16">
        <f>2*PI()/B27</f>
        <v>4.01373992994907</v>
      </c>
      <c r="C28" s="15" t="s">
        <v>89</v>
      </c>
    </row>
    <row r="29" spans="1:3">
      <c r="A29" s="13" t="s">
        <v>110</v>
      </c>
      <c r="B29" s="16">
        <f>B25/B28</f>
        <v>0.0452989443739293</v>
      </c>
      <c r="C29" s="15" t="s">
        <v>99</v>
      </c>
    </row>
    <row r="30" spans="1:3">
      <c r="A30" s="13" t="s">
        <v>111</v>
      </c>
      <c r="B30" s="16">
        <f>B5/B28</f>
        <v>0.380511132741006</v>
      </c>
      <c r="C30" s="15" t="s">
        <v>112</v>
      </c>
    </row>
    <row r="31" spans="1:1">
      <c r="A31" s="12" t="s">
        <v>102</v>
      </c>
    </row>
    <row r="32" spans="1:3">
      <c r="A32" s="13" t="s">
        <v>3</v>
      </c>
      <c r="B32" s="16">
        <f>14*SQRT(B19)</f>
        <v>1.88775961489708</v>
      </c>
      <c r="C32" s="15" t="s">
        <v>104</v>
      </c>
    </row>
    <row r="33" spans="1:3">
      <c r="A33" s="13" t="s">
        <v>4</v>
      </c>
      <c r="B33" s="16">
        <f>16*B19</f>
        <v>0.290909090909091</v>
      </c>
      <c r="C33" s="15" t="s">
        <v>89</v>
      </c>
    </row>
    <row r="34" spans="1:3">
      <c r="A34" s="13" t="s">
        <v>105</v>
      </c>
      <c r="B34" s="16">
        <f>2*PI()/B32</f>
        <v>3.32838209780335</v>
      </c>
      <c r="C34" s="15" t="s">
        <v>106</v>
      </c>
    </row>
    <row r="35" spans="1:3">
      <c r="A35" s="13" t="s">
        <v>107</v>
      </c>
      <c r="B35" s="16">
        <f>(B34^2)/(9.81*TANH((B34^2)*B5/9.81))</f>
        <v>1.20336398038232</v>
      </c>
      <c r="C35" s="15" t="s">
        <v>108</v>
      </c>
    </row>
    <row r="36" spans="1:3">
      <c r="A36" s="13" t="s">
        <v>109</v>
      </c>
      <c r="B36" s="16">
        <f>2*PI()/B35</f>
        <v>5.22135065500576</v>
      </c>
      <c r="C36" s="15" t="s">
        <v>89</v>
      </c>
    </row>
    <row r="37" spans="1:3">
      <c r="A37" s="13" t="s">
        <v>110</v>
      </c>
      <c r="B37" s="16">
        <f>B33/B36</f>
        <v>0.0557152947830067</v>
      </c>
      <c r="C37" s="15" t="s">
        <v>99</v>
      </c>
    </row>
    <row r="38" spans="1:3">
      <c r="A38" s="13" t="s">
        <v>111</v>
      </c>
      <c r="B38" s="16">
        <f>B5/B36</f>
        <v>0.292505297610785</v>
      </c>
      <c r="C38" s="15" t="s">
        <v>112</v>
      </c>
    </row>
    <row r="39" customFormat="true"/>
    <row r="40" spans="1:1">
      <c r="A40" s="17" t="s">
        <v>113</v>
      </c>
    </row>
    <row r="41" spans="1:3">
      <c r="A41" s="18"/>
      <c r="B41" s="19" t="s">
        <v>125</v>
      </c>
      <c r="C41" s="20"/>
    </row>
    <row r="42" spans="1:3">
      <c r="A42" s="18"/>
      <c r="B42" s="19" t="s">
        <v>126</v>
      </c>
      <c r="C42" s="20"/>
    </row>
    <row r="43" spans="1:3">
      <c r="A43" s="18"/>
      <c r="B43" s="19" t="s">
        <v>83</v>
      </c>
      <c r="C43" s="20"/>
    </row>
    <row r="44" spans="1:3">
      <c r="A44" s="18"/>
      <c r="B44" s="19"/>
      <c r="C44" s="20"/>
    </row>
    <row r="45" spans="1:3">
      <c r="A45" s="18" t="s">
        <v>117</v>
      </c>
      <c r="B45" s="19" t="s">
        <v>77</v>
      </c>
      <c r="C45" s="20"/>
    </row>
    <row r="46" spans="1:3">
      <c r="A46" s="18" t="s">
        <v>2</v>
      </c>
      <c r="B46" s="19" t="s">
        <v>75</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37" workbookViewId="0">
      <selection activeCell="B29" sqref="B29"/>
    </sheetView>
  </sheetViews>
  <sheetFormatPr defaultColWidth="8.8" defaultRowHeight="15.75" outlineLevelCol="3"/>
  <cols>
    <col min="1" max="1" width="17.1" customWidth="true"/>
  </cols>
  <sheetData>
    <row r="1" customFormat="true" spans="1:4">
      <c r="A1" t="s">
        <v>127</v>
      </c>
      <c r="D1" t="s">
        <v>128</v>
      </c>
    </row>
    <row r="2" spans="1:3">
      <c r="A2" s="1" t="s">
        <v>86</v>
      </c>
      <c r="B2" s="2"/>
      <c r="C2" s="2"/>
    </row>
    <row r="3" spans="1:3">
      <c r="A3" s="3" t="s">
        <v>88</v>
      </c>
      <c r="B3" s="4">
        <v>36</v>
      </c>
      <c r="C3" s="5" t="s">
        <v>89</v>
      </c>
    </row>
    <row r="4" spans="1:3">
      <c r="A4" s="3" t="s">
        <v>90</v>
      </c>
      <c r="B4" s="4">
        <v>0.95</v>
      </c>
      <c r="C4" s="5" t="s">
        <v>89</v>
      </c>
    </row>
    <row r="5" spans="1:3">
      <c r="A5" s="3" t="s">
        <v>91</v>
      </c>
      <c r="B5" s="4">
        <v>0.8</v>
      </c>
      <c r="C5" s="5" t="s">
        <v>89</v>
      </c>
    </row>
    <row r="6" spans="1:3">
      <c r="A6" s="3" t="s">
        <v>92</v>
      </c>
      <c r="B6" s="4">
        <v>0</v>
      </c>
      <c r="C6" s="5" t="s">
        <v>93</v>
      </c>
    </row>
    <row r="7" spans="1:3">
      <c r="A7" s="3" t="s">
        <v>94</v>
      </c>
      <c r="B7" s="4">
        <v>0</v>
      </c>
      <c r="C7" s="5" t="s">
        <v>93</v>
      </c>
    </row>
    <row r="8" spans="1:3">
      <c r="A8" s="2"/>
      <c r="B8" s="2"/>
      <c r="C8" s="2"/>
    </row>
    <row r="9" spans="1:3">
      <c r="A9" s="6" t="s">
        <v>95</v>
      </c>
      <c r="B9" s="7"/>
      <c r="C9" s="7"/>
    </row>
    <row r="10" spans="1:3">
      <c r="A10" s="8" t="s">
        <v>88</v>
      </c>
      <c r="B10" s="9" t="e">
        <f t="shared" ref="B10:B13" si="0">B20/$B$19</f>
        <v>#DIV/0!</v>
      </c>
      <c r="C10" s="10" t="s">
        <v>89</v>
      </c>
    </row>
    <row r="11" spans="1:3">
      <c r="A11" s="8" t="s">
        <v>96</v>
      </c>
      <c r="B11" s="9" t="e">
        <f t="shared" si="0"/>
        <v>#DIV/0!</v>
      </c>
      <c r="C11" s="10" t="s">
        <v>89</v>
      </c>
    </row>
    <row r="12" spans="1:3">
      <c r="A12" s="8" t="s">
        <v>91</v>
      </c>
      <c r="B12" s="9" t="e">
        <f t="shared" si="0"/>
        <v>#DIV/0!</v>
      </c>
      <c r="C12" s="10" t="s">
        <v>89</v>
      </c>
    </row>
    <row r="13" spans="1:3">
      <c r="A13" s="8" t="s">
        <v>97</v>
      </c>
      <c r="B13" s="9" t="e">
        <f t="shared" si="0"/>
        <v>#DIV/0!</v>
      </c>
      <c r="C13" s="10" t="s">
        <v>89</v>
      </c>
    </row>
    <row r="14" spans="1:3">
      <c r="A14" s="8" t="s">
        <v>98</v>
      </c>
      <c r="B14" s="9" t="e">
        <f>B10/B11</f>
        <v>#DIV/0!</v>
      </c>
      <c r="C14" s="10" t="s">
        <v>99</v>
      </c>
    </row>
    <row r="15" spans="1:3">
      <c r="A15" s="8" t="s">
        <v>100</v>
      </c>
      <c r="B15" s="9" t="e">
        <f>B11/B13</f>
        <v>#DIV/0!</v>
      </c>
      <c r="C15" s="10" t="s">
        <v>99</v>
      </c>
    </row>
    <row r="16" spans="1:3">
      <c r="A16" s="8" t="s">
        <v>101</v>
      </c>
      <c r="B16" s="11"/>
      <c r="C16" s="10" t="s">
        <v>93</v>
      </c>
    </row>
    <row r="18" spans="1:3">
      <c r="A18" s="12" t="s">
        <v>102</v>
      </c>
      <c r="B18" s="2"/>
      <c r="C18" s="2"/>
    </row>
    <row r="19" spans="1:4">
      <c r="A19" s="13" t="s">
        <v>103</v>
      </c>
      <c r="B19" s="14"/>
      <c r="C19" s="15" t="s">
        <v>99</v>
      </c>
      <c r="D19" t="e">
        <f>1/B19</f>
        <v>#DIV/0!</v>
      </c>
    </row>
    <row r="20" spans="1:3">
      <c r="A20" s="13" t="s">
        <v>88</v>
      </c>
      <c r="B20" s="16">
        <v>0.61</v>
      </c>
      <c r="C20" s="15" t="s">
        <v>89</v>
      </c>
    </row>
    <row r="21" spans="1:3">
      <c r="A21" s="13" t="s">
        <v>96</v>
      </c>
      <c r="B21" s="16">
        <v>0.9</v>
      </c>
      <c r="C21" s="15" t="s">
        <v>89</v>
      </c>
    </row>
    <row r="22" spans="1:3">
      <c r="A22" s="13" t="s">
        <v>91</v>
      </c>
      <c r="B22" s="16">
        <v>0.01</v>
      </c>
      <c r="C22" s="15" t="s">
        <v>89</v>
      </c>
    </row>
    <row r="23" spans="1:3">
      <c r="A23" s="13" t="s">
        <v>97</v>
      </c>
      <c r="B23" s="16">
        <v>0</v>
      </c>
      <c r="C23" s="15" t="s">
        <v>89</v>
      </c>
    </row>
    <row r="24" spans="1:3">
      <c r="A24" s="13" t="s">
        <v>3</v>
      </c>
      <c r="B24" s="16">
        <v>1.18</v>
      </c>
      <c r="C24" s="15" t="s">
        <v>104</v>
      </c>
    </row>
    <row r="25" spans="1:3">
      <c r="A25" s="13" t="s">
        <v>4</v>
      </c>
      <c r="B25" s="16">
        <v>0.0924</v>
      </c>
      <c r="C25" s="15" t="s">
        <v>89</v>
      </c>
    </row>
    <row r="26" spans="1:3">
      <c r="A26" s="13" t="s">
        <v>105</v>
      </c>
      <c r="B26" s="16">
        <f>2*PI()/B24</f>
        <v>5.32473331116914</v>
      </c>
      <c r="C26" s="15" t="s">
        <v>106</v>
      </c>
    </row>
    <row r="27" spans="1:3">
      <c r="A27" s="13" t="s">
        <v>107</v>
      </c>
      <c r="B27" s="16">
        <f>(B26^2)/(9.81*TANH((B26^2)*B5/9.81))</f>
        <v>2.94746213335001</v>
      </c>
      <c r="C27" s="15" t="s">
        <v>108</v>
      </c>
    </row>
    <row r="28" spans="1:3">
      <c r="A28" s="13" t="s">
        <v>109</v>
      </c>
      <c r="B28" s="16">
        <f>2*PI()/B27</f>
        <v>2.13172723614884</v>
      </c>
      <c r="C28" s="15" t="s">
        <v>89</v>
      </c>
    </row>
    <row r="29" spans="1:3">
      <c r="A29" s="13" t="s">
        <v>110</v>
      </c>
      <c r="B29" s="16">
        <f>B25/B28</f>
        <v>0.0433451327323326</v>
      </c>
      <c r="C29" s="15" t="s">
        <v>99</v>
      </c>
    </row>
    <row r="30" spans="1:3">
      <c r="A30" s="13" t="s">
        <v>111</v>
      </c>
      <c r="B30" s="16">
        <f>B5/B28</f>
        <v>0.37528253447907</v>
      </c>
      <c r="C30" s="15" t="s">
        <v>112</v>
      </c>
    </row>
    <row r="31" spans="1:1">
      <c r="A31" s="12" t="s">
        <v>102</v>
      </c>
    </row>
    <row r="32" spans="1:3">
      <c r="A32" s="13" t="s">
        <v>3</v>
      </c>
      <c r="B32" s="16">
        <v>1.2</v>
      </c>
      <c r="C32" s="15" t="s">
        <v>104</v>
      </c>
    </row>
    <row r="33" spans="1:3">
      <c r="A33" s="13" t="s">
        <v>4</v>
      </c>
      <c r="B33" s="16">
        <v>0.1004</v>
      </c>
      <c r="C33" s="15" t="s">
        <v>89</v>
      </c>
    </row>
    <row r="34" spans="1:3">
      <c r="A34" s="13" t="s">
        <v>105</v>
      </c>
      <c r="B34" s="16">
        <f>2*PI()/B32</f>
        <v>5.23598775598299</v>
      </c>
      <c r="C34" s="15" t="s">
        <v>106</v>
      </c>
    </row>
    <row r="35" spans="1:3">
      <c r="A35" s="13" t="s">
        <v>107</v>
      </c>
      <c r="B35" s="16">
        <f>(B34^2)/(9.81*TANH((B34^2)*B5/9.81))</f>
        <v>2.85928398155435</v>
      </c>
      <c r="C35" s="15" t="s">
        <v>108</v>
      </c>
    </row>
    <row r="36" spans="1:3">
      <c r="A36" s="13" t="s">
        <v>109</v>
      </c>
      <c r="B36" s="16">
        <f>2*PI()/B35</f>
        <v>2.19746808911368</v>
      </c>
      <c r="C36" s="15" t="s">
        <v>89</v>
      </c>
    </row>
    <row r="37" spans="1:3">
      <c r="A37" s="13" t="s">
        <v>110</v>
      </c>
      <c r="B37" s="16">
        <f>B33/B36</f>
        <v>0.0456889456085321</v>
      </c>
      <c r="C37" s="15" t="s">
        <v>99</v>
      </c>
    </row>
    <row r="38" spans="1:3">
      <c r="A38" s="13" t="s">
        <v>111</v>
      </c>
      <c r="B38" s="16">
        <f>B5/B36</f>
        <v>0.36405534349428</v>
      </c>
      <c r="C38" s="15" t="s">
        <v>112</v>
      </c>
    </row>
    <row r="40" spans="1:1">
      <c r="A40" s="17" t="s">
        <v>113</v>
      </c>
    </row>
    <row r="41" spans="1:3">
      <c r="A41" s="18" t="s">
        <v>129</v>
      </c>
      <c r="B41" s="19"/>
      <c r="C41" s="20"/>
    </row>
    <row r="42" spans="1:3">
      <c r="A42" s="18"/>
      <c r="B42" s="19"/>
      <c r="C42" s="20"/>
    </row>
    <row r="43" spans="1:3">
      <c r="A43" s="18"/>
      <c r="B43" s="19"/>
      <c r="C43" s="20"/>
    </row>
    <row r="44" spans="1:3">
      <c r="A44" s="18"/>
      <c r="B44" s="19"/>
      <c r="C44" s="20"/>
    </row>
    <row r="45" spans="1:3">
      <c r="A45" s="18" t="s">
        <v>117</v>
      </c>
      <c r="B45" s="19" t="s">
        <v>74</v>
      </c>
      <c r="C45" s="20"/>
    </row>
    <row r="46" spans="1:3">
      <c r="A46" s="18" t="s">
        <v>2</v>
      </c>
      <c r="B46" s="19" t="s">
        <v>83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46"/>
  <sheetViews>
    <sheetView topLeftCell="A15" workbookViewId="0">
      <selection activeCell="B24" sqref="B24:B30"/>
    </sheetView>
  </sheetViews>
  <sheetFormatPr defaultColWidth="8.8" defaultRowHeight="15.75" outlineLevelCol="6"/>
  <cols>
    <col min="1" max="1" width="17.4" customWidth="true"/>
    <col min="2" max="2" width="9.3" customWidth="true"/>
  </cols>
  <sheetData>
    <row r="1" spans="1:7">
      <c r="A1" t="s">
        <v>130</v>
      </c>
      <c r="G1" t="s">
        <v>131</v>
      </c>
    </row>
    <row r="2" spans="1:3">
      <c r="A2" s="1" t="s">
        <v>86</v>
      </c>
      <c r="B2" s="2" t="s">
        <v>132</v>
      </c>
      <c r="C2" s="2"/>
    </row>
    <row r="3" spans="1:3">
      <c r="A3" s="3" t="s">
        <v>88</v>
      </c>
      <c r="B3" s="4"/>
      <c r="C3" s="5" t="s">
        <v>89</v>
      </c>
    </row>
    <row r="4" spans="1:3">
      <c r="A4" s="3" t="s">
        <v>90</v>
      </c>
      <c r="B4" s="4"/>
      <c r="C4" s="5" t="s">
        <v>89</v>
      </c>
    </row>
    <row r="5" spans="1:3">
      <c r="A5" s="3" t="s">
        <v>91</v>
      </c>
      <c r="B5" s="4">
        <v>2</v>
      </c>
      <c r="C5" s="5" t="s">
        <v>89</v>
      </c>
    </row>
    <row r="6" spans="1:3">
      <c r="A6" s="3" t="s">
        <v>92</v>
      </c>
      <c r="B6" s="28">
        <f>B7</f>
        <v>0.626418390534633</v>
      </c>
      <c r="C6" s="5" t="s">
        <v>93</v>
      </c>
    </row>
    <row r="7" spans="1:3">
      <c r="A7" s="3" t="s">
        <v>94</v>
      </c>
      <c r="B7" s="28">
        <v>0.626418390534633</v>
      </c>
      <c r="C7" s="5" t="s">
        <v>93</v>
      </c>
    </row>
    <row r="8" spans="1:3">
      <c r="A8" s="2"/>
      <c r="B8" s="2"/>
      <c r="C8" s="2"/>
    </row>
    <row r="9" spans="1:3">
      <c r="A9" s="6" t="s">
        <v>95</v>
      </c>
      <c r="B9" s="7"/>
      <c r="C9" s="7"/>
    </row>
    <row r="10" spans="1:3">
      <c r="A10" s="8" t="s">
        <v>88</v>
      </c>
      <c r="B10" s="24">
        <f>B20/$B$19</f>
        <v>72</v>
      </c>
      <c r="C10" s="10" t="s">
        <v>89</v>
      </c>
    </row>
    <row r="11" spans="1:3">
      <c r="A11" s="8" t="s">
        <v>96</v>
      </c>
      <c r="B11" s="24">
        <f t="shared" ref="B10:B13" si="0">B21/$B$19</f>
        <v>6.624</v>
      </c>
      <c r="C11" s="10" t="s">
        <v>89</v>
      </c>
    </row>
    <row r="12" spans="1:3">
      <c r="A12" s="8" t="s">
        <v>91</v>
      </c>
      <c r="B12" s="24">
        <f t="shared" si="0"/>
        <v>5.256</v>
      </c>
      <c r="C12" s="10" t="s">
        <v>89</v>
      </c>
    </row>
    <row r="13" spans="1:3">
      <c r="A13" s="8" t="s">
        <v>97</v>
      </c>
      <c r="B13" s="24">
        <f t="shared" si="0"/>
        <v>4.734</v>
      </c>
      <c r="C13" s="10" t="s">
        <v>89</v>
      </c>
    </row>
    <row r="14" spans="1:3">
      <c r="A14" s="8" t="s">
        <v>98</v>
      </c>
      <c r="B14" s="24">
        <f>B10/B11</f>
        <v>10.8695652173913</v>
      </c>
      <c r="C14" s="10" t="s">
        <v>99</v>
      </c>
    </row>
    <row r="15" spans="1:3">
      <c r="A15" s="8" t="s">
        <v>100</v>
      </c>
      <c r="B15" s="24">
        <f>B11/B13</f>
        <v>1.39923954372624</v>
      </c>
      <c r="C15" s="10" t="s">
        <v>99</v>
      </c>
    </row>
    <row r="16" spans="1:3">
      <c r="A16" s="8" t="s">
        <v>101</v>
      </c>
      <c r="B16" s="11">
        <f>B7/SQRT(B19)</f>
        <v>2.65766815084201</v>
      </c>
      <c r="C16" s="10" t="s">
        <v>93</v>
      </c>
    </row>
    <row r="18" spans="1:3">
      <c r="A18" s="12" t="s">
        <v>102</v>
      </c>
      <c r="B18" s="2"/>
      <c r="C18" s="2"/>
    </row>
    <row r="19" spans="1:4">
      <c r="A19" s="13" t="s">
        <v>103</v>
      </c>
      <c r="B19" s="14">
        <f>4/72</f>
        <v>0.0555555555555556</v>
      </c>
      <c r="C19" s="15" t="s">
        <v>99</v>
      </c>
      <c r="D19">
        <f>1/B19</f>
        <v>18</v>
      </c>
    </row>
    <row r="20" spans="1:3">
      <c r="A20" s="13" t="s">
        <v>88</v>
      </c>
      <c r="B20" s="16">
        <v>4</v>
      </c>
      <c r="C20" s="15" t="s">
        <v>89</v>
      </c>
    </row>
    <row r="21" spans="1:3">
      <c r="A21" s="13" t="s">
        <v>96</v>
      </c>
      <c r="B21" s="16">
        <v>0.368</v>
      </c>
      <c r="C21" s="15" t="s">
        <v>89</v>
      </c>
    </row>
    <row r="22" spans="1:3">
      <c r="A22" s="13" t="s">
        <v>91</v>
      </c>
      <c r="B22" s="16">
        <f>0.292</f>
        <v>0.292</v>
      </c>
      <c r="C22" s="15" t="s">
        <v>89</v>
      </c>
    </row>
    <row r="23" spans="1:3">
      <c r="A23" s="13" t="s">
        <v>97</v>
      </c>
      <c r="B23" s="16">
        <f>0.263</f>
        <v>0.263</v>
      </c>
      <c r="C23" s="15" t="s">
        <v>89</v>
      </c>
    </row>
    <row r="24" spans="1:3">
      <c r="A24" s="13" t="s">
        <v>3</v>
      </c>
      <c r="B24" s="16">
        <f>2*PI()/B26</f>
        <v>1.2398620013031</v>
      </c>
      <c r="C24" s="15" t="s">
        <v>104</v>
      </c>
    </row>
    <row r="25" spans="1:3">
      <c r="A25" s="13" t="s">
        <v>4</v>
      </c>
      <c r="B25" s="16">
        <f>(1/30)*B28</f>
        <v>0.08</v>
      </c>
      <c r="C25" s="15" t="s">
        <v>89</v>
      </c>
    </row>
    <row r="26" spans="1:3">
      <c r="A26" s="13" t="s">
        <v>105</v>
      </c>
      <c r="B26" s="16">
        <f>SQRT(B27*9.81*TANH(B27*B5))</f>
        <v>5.06764890010013</v>
      </c>
      <c r="C26" s="15" t="s">
        <v>106</v>
      </c>
    </row>
    <row r="27" spans="1:3">
      <c r="A27" s="13" t="s">
        <v>107</v>
      </c>
      <c r="B27" s="16">
        <f>2*PI()/B28</f>
        <v>2.61799387799149</v>
      </c>
      <c r="C27" s="15" t="s">
        <v>108</v>
      </c>
    </row>
    <row r="28" spans="1:3">
      <c r="A28" s="13" t="s">
        <v>109</v>
      </c>
      <c r="B28" s="16">
        <f>0.6*B20</f>
        <v>2.4</v>
      </c>
      <c r="C28" s="15" t="s">
        <v>89</v>
      </c>
    </row>
    <row r="29" spans="1:3">
      <c r="A29" s="13" t="s">
        <v>110</v>
      </c>
      <c r="B29" s="16">
        <f>B25/B28</f>
        <v>0.0333333333333333</v>
      </c>
      <c r="C29" s="15" t="s">
        <v>99</v>
      </c>
    </row>
    <row r="30" spans="1:3">
      <c r="A30" s="13" t="s">
        <v>111</v>
      </c>
      <c r="B30" s="16">
        <f>B5/B28</f>
        <v>0.833333333333333</v>
      </c>
      <c r="C30" s="15" t="s">
        <v>112</v>
      </c>
    </row>
    <row r="31" spans="1:1">
      <c r="A31" s="12" t="s">
        <v>102</v>
      </c>
    </row>
    <row r="32" spans="1:3">
      <c r="A32" s="13" t="s">
        <v>3</v>
      </c>
      <c r="B32" s="16">
        <f>2*PI()/B34</f>
        <v>1.99029508866106</v>
      </c>
      <c r="C32" s="15" t="s">
        <v>104</v>
      </c>
    </row>
    <row r="33" spans="1:3">
      <c r="A33" s="13" t="s">
        <v>4</v>
      </c>
      <c r="B33" s="16">
        <f>(1/30)*B36</f>
        <v>0.2</v>
      </c>
      <c r="C33" s="15" t="s">
        <v>89</v>
      </c>
    </row>
    <row r="34" spans="1:3">
      <c r="A34" s="13" t="s">
        <v>105</v>
      </c>
      <c r="B34" s="16">
        <f>SQRT(B35*9.81*TANH(B35*B5))</f>
        <v>3.15691142633854</v>
      </c>
      <c r="C34" s="15" t="s">
        <v>106</v>
      </c>
    </row>
    <row r="35" spans="1:3">
      <c r="A35" s="13" t="s">
        <v>107</v>
      </c>
      <c r="B35" s="16">
        <f>2*PI()/B36</f>
        <v>1.0471975511966</v>
      </c>
      <c r="C35" s="15" t="s">
        <v>108</v>
      </c>
    </row>
    <row r="36" spans="1:3">
      <c r="A36" s="13" t="s">
        <v>109</v>
      </c>
      <c r="B36" s="16">
        <f>1.5*B20</f>
        <v>6</v>
      </c>
      <c r="C36" s="15" t="s">
        <v>89</v>
      </c>
    </row>
    <row r="37" spans="1:3">
      <c r="A37" s="13" t="s">
        <v>110</v>
      </c>
      <c r="B37" s="16">
        <f>B33/B36</f>
        <v>0.0333333333333333</v>
      </c>
      <c r="C37" s="15" t="s">
        <v>99</v>
      </c>
    </row>
    <row r="38" spans="1:3">
      <c r="A38" s="13" t="s">
        <v>111</v>
      </c>
      <c r="B38" s="16">
        <f>B5/B36</f>
        <v>0.333333333333333</v>
      </c>
      <c r="C38" s="15" t="s">
        <v>112</v>
      </c>
    </row>
    <row r="40" spans="1:1">
      <c r="A40" s="17" t="s">
        <v>113</v>
      </c>
    </row>
    <row r="41" spans="1:3">
      <c r="A41" s="18" t="s">
        <v>133</v>
      </c>
      <c r="B41" s="19">
        <v>400</v>
      </c>
      <c r="C41" s="20" t="s">
        <v>99</v>
      </c>
    </row>
    <row r="42" spans="1:3">
      <c r="A42" s="18" t="s">
        <v>134</v>
      </c>
      <c r="B42" s="19">
        <v>1.459</v>
      </c>
      <c r="C42" s="20" t="s">
        <v>104</v>
      </c>
    </row>
    <row r="43" spans="1:3">
      <c r="A43" s="18" t="s">
        <v>135</v>
      </c>
      <c r="B43" s="19">
        <v>0.174</v>
      </c>
      <c r="C43" s="20" t="s">
        <v>89</v>
      </c>
    </row>
    <row r="44" spans="1:3">
      <c r="A44" s="18" t="s">
        <v>136</v>
      </c>
      <c r="B44" s="19" t="s">
        <v>137</v>
      </c>
      <c r="C44" s="20"/>
    </row>
    <row r="45" spans="1:3">
      <c r="A45" s="18" t="s">
        <v>117</v>
      </c>
      <c r="B45" s="19" t="s">
        <v>77</v>
      </c>
      <c r="C45" s="20"/>
    </row>
    <row r="46" spans="1:3">
      <c r="A46" s="18" t="s">
        <v>2</v>
      </c>
      <c r="B46" s="19" t="s">
        <v>138</v>
      </c>
      <c r="C46" s="20"/>
    </row>
  </sheetData>
  <conditionalFormatting sqref="B22">
    <cfRule type="cellIs" dxfId="0" priority="3" operator="greaterThan">
      <formula>$C$6/2.5</formula>
    </cfRule>
  </conditionalFormatting>
  <conditionalFormatting sqref="B30">
    <cfRule type="cellIs" dxfId="2" priority="8" operator="lessThan">
      <formula>0.5</formula>
    </cfRule>
    <cfRule type="cellIs" dxfId="1" priority="9" operator="between">
      <formula>0.5</formula>
      <formula>0.05</formula>
    </cfRule>
  </conditionalFormatting>
  <conditionalFormatting sqref="B38">
    <cfRule type="cellIs" dxfId="2" priority="5" operator="lessThan">
      <formula>0.5</formula>
    </cfRule>
    <cfRule type="cellIs" dxfId="1" priority="6" operator="between">
      <formula>0.5</formula>
      <formula>0.05</formula>
    </cfRule>
  </conditionalFormatting>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39" workbookViewId="0">
      <selection activeCell="B19" sqref="B19"/>
    </sheetView>
  </sheetViews>
  <sheetFormatPr defaultColWidth="8.8" defaultRowHeight="15.75" outlineLevelCol="3"/>
  <cols>
    <col min="1" max="1" width="17.1" customWidth="true"/>
  </cols>
  <sheetData>
    <row r="1" customFormat="true" spans="1:4">
      <c r="A1" t="s">
        <v>139</v>
      </c>
      <c r="D1" t="s">
        <v>140</v>
      </c>
    </row>
    <row r="2" spans="1:3">
      <c r="A2" s="1" t="s">
        <v>86</v>
      </c>
      <c r="B2" s="2" t="s">
        <v>141</v>
      </c>
      <c r="C2" s="2"/>
    </row>
    <row r="3" spans="1:3">
      <c r="A3" s="3" t="s">
        <v>88</v>
      </c>
      <c r="B3" s="4"/>
      <c r="C3" s="5" t="s">
        <v>89</v>
      </c>
    </row>
    <row r="4" spans="1:3">
      <c r="A4" s="3" t="s">
        <v>90</v>
      </c>
      <c r="B4" s="4"/>
      <c r="C4" s="5" t="s">
        <v>89</v>
      </c>
    </row>
    <row r="5" spans="1:3">
      <c r="A5" s="3" t="s">
        <v>91</v>
      </c>
      <c r="B5" s="4"/>
      <c r="C5" s="5" t="s">
        <v>89</v>
      </c>
    </row>
    <row r="6" spans="1:3">
      <c r="A6" s="3" t="s">
        <v>92</v>
      </c>
      <c r="B6" s="4"/>
      <c r="C6" s="5" t="s">
        <v>93</v>
      </c>
    </row>
    <row r="7" spans="1:3">
      <c r="A7" s="3" t="s">
        <v>94</v>
      </c>
      <c r="B7" s="4"/>
      <c r="C7" s="5" t="s">
        <v>93</v>
      </c>
    </row>
    <row r="8" spans="1:3">
      <c r="A8" s="2"/>
      <c r="B8" s="2"/>
      <c r="C8" s="2"/>
    </row>
    <row r="9" spans="1:3">
      <c r="A9" s="6" t="s">
        <v>95</v>
      </c>
      <c r="B9" s="7"/>
      <c r="C9" s="7"/>
    </row>
    <row r="10" spans="1:3">
      <c r="A10" s="8" t="s">
        <v>88</v>
      </c>
      <c r="B10" s="9" t="e">
        <f t="shared" ref="B10:B13" si="0">B20/$B$19</f>
        <v>#DIV/0!</v>
      </c>
      <c r="C10" s="10" t="s">
        <v>89</v>
      </c>
    </row>
    <row r="11" spans="1:3">
      <c r="A11" s="8" t="s">
        <v>96</v>
      </c>
      <c r="B11" s="9" t="e">
        <f t="shared" si="0"/>
        <v>#DIV/0!</v>
      </c>
      <c r="C11" s="10" t="s">
        <v>89</v>
      </c>
    </row>
    <row r="12" spans="1:3">
      <c r="A12" s="8" t="s">
        <v>91</v>
      </c>
      <c r="B12" s="9" t="e">
        <f t="shared" si="0"/>
        <v>#DIV/0!</v>
      </c>
      <c r="C12" s="10" t="s">
        <v>89</v>
      </c>
    </row>
    <row r="13" spans="1:3">
      <c r="A13" s="8" t="s">
        <v>97</v>
      </c>
      <c r="B13" s="9" t="e">
        <f t="shared" si="0"/>
        <v>#DIV/0!</v>
      </c>
      <c r="C13" s="10" t="s">
        <v>89</v>
      </c>
    </row>
    <row r="14" spans="1:3">
      <c r="A14" s="8" t="s">
        <v>98</v>
      </c>
      <c r="B14" s="9" t="e">
        <f>B10/B11</f>
        <v>#DIV/0!</v>
      </c>
      <c r="C14" s="10" t="s">
        <v>99</v>
      </c>
    </row>
    <row r="15" spans="1:3">
      <c r="A15" s="8" t="s">
        <v>100</v>
      </c>
      <c r="B15" s="9" t="e">
        <f>B11/B13</f>
        <v>#DIV/0!</v>
      </c>
      <c r="C15" s="10" t="s">
        <v>99</v>
      </c>
    </row>
    <row r="16" spans="1:3">
      <c r="A16" s="8" t="s">
        <v>101</v>
      </c>
      <c r="B16" s="11"/>
      <c r="C16" s="10" t="s">
        <v>93</v>
      </c>
    </row>
    <row r="18" spans="1:3">
      <c r="A18" s="12" t="s">
        <v>102</v>
      </c>
      <c r="B18" s="2"/>
      <c r="C18" s="2"/>
    </row>
    <row r="19" spans="1:4">
      <c r="A19" s="13" t="s">
        <v>103</v>
      </c>
      <c r="B19" s="14"/>
      <c r="C19" s="15" t="s">
        <v>99</v>
      </c>
      <c r="D19" t="e">
        <f>1/B19</f>
        <v>#DIV/0!</v>
      </c>
    </row>
    <row r="20" spans="1:3">
      <c r="A20" s="13" t="s">
        <v>88</v>
      </c>
      <c r="B20" s="16"/>
      <c r="C20" s="15" t="s">
        <v>89</v>
      </c>
    </row>
    <row r="21" spans="1:3">
      <c r="A21" s="13" t="s">
        <v>96</v>
      </c>
      <c r="B21" s="16"/>
      <c r="C21" s="15" t="s">
        <v>89</v>
      </c>
    </row>
    <row r="22" spans="1:3">
      <c r="A22" s="13" t="s">
        <v>91</v>
      </c>
      <c r="B22" s="16"/>
      <c r="C22" s="15" t="s">
        <v>89</v>
      </c>
    </row>
    <row r="23" spans="1:3">
      <c r="A23" s="13" t="s">
        <v>97</v>
      </c>
      <c r="B23" s="16"/>
      <c r="C23" s="15" t="s">
        <v>89</v>
      </c>
    </row>
    <row r="24" spans="1:3">
      <c r="A24" s="13" t="s">
        <v>3</v>
      </c>
      <c r="B24" s="16"/>
      <c r="C24" s="15" t="s">
        <v>104</v>
      </c>
    </row>
    <row r="25" spans="1:3">
      <c r="A25" s="13" t="s">
        <v>4</v>
      </c>
      <c r="B25" s="16"/>
      <c r="C25" s="15" t="s">
        <v>89</v>
      </c>
    </row>
    <row r="26" spans="1:3">
      <c r="A26" s="13" t="s">
        <v>105</v>
      </c>
      <c r="B26" s="16" t="e">
        <f>2*PI()/B24</f>
        <v>#DIV/0!</v>
      </c>
      <c r="C26" s="15" t="s">
        <v>106</v>
      </c>
    </row>
    <row r="27" spans="1:3">
      <c r="A27" s="13" t="s">
        <v>107</v>
      </c>
      <c r="B27" s="16" t="e">
        <f>(B26^2)/(9.81*TANH((B26^2)*B5/9.81))</f>
        <v>#DIV/0!</v>
      </c>
      <c r="C27" s="15" t="s">
        <v>108</v>
      </c>
    </row>
    <row r="28" spans="1:3">
      <c r="A28" s="13" t="s">
        <v>109</v>
      </c>
      <c r="B28" s="16" t="e">
        <f>2*PI()/B27</f>
        <v>#DIV/0!</v>
      </c>
      <c r="C28" s="15" t="s">
        <v>89</v>
      </c>
    </row>
    <row r="29" spans="1:3">
      <c r="A29" s="13" t="s">
        <v>110</v>
      </c>
      <c r="B29" s="16" t="e">
        <f>B25/B28</f>
        <v>#DIV/0!</v>
      </c>
      <c r="C29" s="15" t="s">
        <v>99</v>
      </c>
    </row>
    <row r="30" spans="1:3">
      <c r="A30" s="13" t="s">
        <v>111</v>
      </c>
      <c r="B30" s="16" t="e">
        <f>B5/B28</f>
        <v>#DIV/0!</v>
      </c>
      <c r="C30" s="15" t="s">
        <v>112</v>
      </c>
    </row>
    <row r="31" spans="1:1">
      <c r="A31" s="12" t="s">
        <v>102</v>
      </c>
    </row>
    <row r="32" spans="1:3">
      <c r="A32" s="13" t="s">
        <v>3</v>
      </c>
      <c r="B32" s="16"/>
      <c r="C32" s="15" t="s">
        <v>104</v>
      </c>
    </row>
    <row r="33" spans="1:3">
      <c r="A33" s="13" t="s">
        <v>4</v>
      </c>
      <c r="B33" s="16"/>
      <c r="C33" s="15" t="s">
        <v>89</v>
      </c>
    </row>
    <row r="34" spans="1:3">
      <c r="A34" s="13" t="s">
        <v>105</v>
      </c>
      <c r="B34" s="16" t="e">
        <f>2*PI()/B32</f>
        <v>#DIV/0!</v>
      </c>
      <c r="C34" s="15" t="s">
        <v>106</v>
      </c>
    </row>
    <row r="35" spans="1:3">
      <c r="A35" s="13" t="s">
        <v>107</v>
      </c>
      <c r="B35" s="16" t="e">
        <f>(B34^2)/(9.81*TANH((B34^2)*B17/9.81))</f>
        <v>#DIV/0!</v>
      </c>
      <c r="C35" s="15" t="s">
        <v>108</v>
      </c>
    </row>
    <row r="36" spans="1:3">
      <c r="A36" s="13" t="s">
        <v>109</v>
      </c>
      <c r="B36" s="16" t="e">
        <f>2*PI()/B35</f>
        <v>#DIV/0!</v>
      </c>
      <c r="C36" s="15" t="s">
        <v>89</v>
      </c>
    </row>
    <row r="37" spans="1:3">
      <c r="A37" s="13" t="s">
        <v>110</v>
      </c>
      <c r="B37" s="16" t="e">
        <f>B33/B36</f>
        <v>#DIV/0!</v>
      </c>
      <c r="C37" s="15" t="s">
        <v>99</v>
      </c>
    </row>
    <row r="38" spans="1:3">
      <c r="A38" s="13" t="s">
        <v>111</v>
      </c>
      <c r="B38" s="16" t="e">
        <f>B17/B36</f>
        <v>#DIV/0!</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74</v>
      </c>
      <c r="C45" s="20"/>
    </row>
    <row r="46" spans="1:3">
      <c r="A46" s="18" t="s">
        <v>2</v>
      </c>
      <c r="B46" s="19" t="s">
        <v>78</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workbookViewId="0">
      <selection activeCell="B47" sqref="B47"/>
    </sheetView>
  </sheetViews>
  <sheetFormatPr defaultColWidth="8.8" defaultRowHeight="15.75" outlineLevelCol="3"/>
  <cols>
    <col min="1" max="1" width="17.1" customWidth="true"/>
    <col min="2" max="2" width="10.7" customWidth="true"/>
  </cols>
  <sheetData>
    <row r="1" customFormat="true" spans="1:2">
      <c r="A1" t="s">
        <v>142</v>
      </c>
      <c r="B1" t="s">
        <v>143</v>
      </c>
    </row>
    <row r="2" spans="1:3">
      <c r="A2" s="1" t="s">
        <v>86</v>
      </c>
      <c r="B2" s="2"/>
      <c r="C2" s="2"/>
    </row>
    <row r="3" spans="1:3">
      <c r="A3" s="3" t="s">
        <v>88</v>
      </c>
      <c r="B3" s="4"/>
      <c r="C3" s="5" t="s">
        <v>89</v>
      </c>
    </row>
    <row r="4" spans="1:3">
      <c r="A4" s="3" t="s">
        <v>90</v>
      </c>
      <c r="B4" s="4"/>
      <c r="C4" s="5" t="s">
        <v>89</v>
      </c>
    </row>
    <row r="5" spans="1:3">
      <c r="A5" s="3" t="s">
        <v>91</v>
      </c>
      <c r="B5" s="4">
        <v>3</v>
      </c>
      <c r="C5" s="5" t="s">
        <v>89</v>
      </c>
    </row>
    <row r="6" spans="1:3">
      <c r="A6" s="3" t="s">
        <v>92</v>
      </c>
      <c r="B6" s="4"/>
      <c r="C6" s="5" t="s">
        <v>93</v>
      </c>
    </row>
    <row r="7" spans="1:3">
      <c r="A7" s="3" t="s">
        <v>94</v>
      </c>
      <c r="B7" s="27">
        <f>B16*SQRT(B19)</f>
        <v>1.07814048249753</v>
      </c>
      <c r="C7" s="5" t="s">
        <v>93</v>
      </c>
    </row>
    <row r="8" spans="1:3">
      <c r="A8" s="2"/>
      <c r="B8" s="2"/>
      <c r="C8" s="2"/>
    </row>
    <row r="9" spans="1:3">
      <c r="A9" s="6" t="s">
        <v>95</v>
      </c>
      <c r="B9" s="7"/>
      <c r="C9" s="7"/>
    </row>
    <row r="10" spans="1:3">
      <c r="A10" s="8" t="s">
        <v>88</v>
      </c>
      <c r="B10" s="24">
        <f t="shared" ref="B10:B13" si="0">B20/$B$19</f>
        <v>78.5</v>
      </c>
      <c r="C10" s="10" t="s">
        <v>89</v>
      </c>
    </row>
    <row r="11" spans="1:3">
      <c r="A11" s="8" t="s">
        <v>96</v>
      </c>
      <c r="B11" s="24">
        <f t="shared" si="0"/>
        <v>12.8089024390244</v>
      </c>
      <c r="C11" s="10" t="s">
        <v>89</v>
      </c>
    </row>
    <row r="12" spans="1:3">
      <c r="A12" s="8" t="s">
        <v>91</v>
      </c>
      <c r="B12" s="24">
        <f t="shared" si="0"/>
        <v>7.79256097560976</v>
      </c>
      <c r="C12" s="10" t="s">
        <v>89</v>
      </c>
    </row>
    <row r="13" spans="1:3">
      <c r="A13" s="8" t="s">
        <v>97</v>
      </c>
      <c r="B13" s="24">
        <f t="shared" si="0"/>
        <v>4.51853658536585</v>
      </c>
      <c r="C13" s="10" t="s">
        <v>89</v>
      </c>
    </row>
    <row r="14" spans="1:3">
      <c r="A14" s="8" t="s">
        <v>98</v>
      </c>
      <c r="B14" s="24">
        <f>B10/B11</f>
        <v>6.12855007473842</v>
      </c>
      <c r="C14" s="10" t="s">
        <v>99</v>
      </c>
    </row>
    <row r="15" spans="1:3">
      <c r="A15" s="8" t="s">
        <v>100</v>
      </c>
      <c r="B15" s="24">
        <f>B11/B13</f>
        <v>2.83474576271186</v>
      </c>
      <c r="C15" s="10" t="s">
        <v>99</v>
      </c>
    </row>
    <row r="16" spans="1:3">
      <c r="A16" s="8" t="s">
        <v>101</v>
      </c>
      <c r="B16" s="24">
        <f>0.17*SQRT(9.81*B10)</f>
        <v>4.7175689184155</v>
      </c>
      <c r="C16" s="10" t="s">
        <v>93</v>
      </c>
    </row>
    <row r="18" spans="1:3">
      <c r="A18" s="12" t="s">
        <v>102</v>
      </c>
      <c r="B18" s="2"/>
      <c r="C18" s="2"/>
    </row>
    <row r="19" spans="1:4">
      <c r="A19" s="13" t="s">
        <v>103</v>
      </c>
      <c r="B19" s="14">
        <f>4.1/78.5</f>
        <v>0.0522292993630573</v>
      </c>
      <c r="C19" s="15" t="s">
        <v>99</v>
      </c>
      <c r="D19">
        <f>1/B19</f>
        <v>19.1463414634146</v>
      </c>
    </row>
    <row r="20" spans="1:3">
      <c r="A20" s="13" t="s">
        <v>88</v>
      </c>
      <c r="B20" s="16">
        <v>4.1</v>
      </c>
      <c r="C20" s="15" t="s">
        <v>89</v>
      </c>
    </row>
    <row r="21" spans="1:3">
      <c r="A21" s="13" t="s">
        <v>96</v>
      </c>
      <c r="B21" s="16">
        <v>0.669</v>
      </c>
      <c r="C21" s="15" t="s">
        <v>89</v>
      </c>
    </row>
    <row r="22" spans="1:3">
      <c r="A22" s="13" t="s">
        <v>91</v>
      </c>
      <c r="B22" s="16">
        <v>0.407</v>
      </c>
      <c r="C22" s="15" t="s">
        <v>89</v>
      </c>
    </row>
    <row r="23" spans="1:3">
      <c r="A23" s="13" t="s">
        <v>97</v>
      </c>
      <c r="B23" s="16">
        <v>0.236</v>
      </c>
      <c r="C23" s="15" t="s">
        <v>89</v>
      </c>
    </row>
    <row r="24" spans="1:3">
      <c r="A24" s="13" t="s">
        <v>3</v>
      </c>
      <c r="B24" s="16">
        <v>1.459</v>
      </c>
      <c r="C24" s="15" t="s">
        <v>104</v>
      </c>
    </row>
    <row r="25" spans="1:3">
      <c r="A25" s="13" t="s">
        <v>4</v>
      </c>
      <c r="B25" s="16">
        <v>0.174</v>
      </c>
      <c r="C25" s="15" t="s">
        <v>89</v>
      </c>
    </row>
    <row r="26" spans="1:3">
      <c r="A26" s="13" t="s">
        <v>105</v>
      </c>
      <c r="B26" s="16">
        <f>2*PI()/B24</f>
        <v>4.30650123864262</v>
      </c>
      <c r="C26" s="15" t="s">
        <v>106</v>
      </c>
    </row>
    <row r="27" spans="1:3">
      <c r="A27" s="13" t="s">
        <v>107</v>
      </c>
      <c r="B27" s="16">
        <f>(B26^2)/(9.81*TANH((B26^2)*B5/9.81))</f>
        <v>1.89055988820189</v>
      </c>
      <c r="C27" s="15" t="s">
        <v>108</v>
      </c>
    </row>
    <row r="28" spans="1:3">
      <c r="A28" s="13" t="s">
        <v>109</v>
      </c>
      <c r="B28" s="16">
        <f>2*PI()/B27</f>
        <v>3.32345214049555</v>
      </c>
      <c r="C28" s="15" t="s">
        <v>89</v>
      </c>
    </row>
    <row r="29" spans="1:3">
      <c r="A29" s="13" t="s">
        <v>110</v>
      </c>
      <c r="B29" s="16">
        <f>B25/B28</f>
        <v>0.0523551995468349</v>
      </c>
      <c r="C29" s="15" t="s">
        <v>99</v>
      </c>
    </row>
    <row r="30" spans="1:3">
      <c r="A30" s="13" t="s">
        <v>111</v>
      </c>
      <c r="B30" s="16">
        <f>B5/B28</f>
        <v>0.902675854255773</v>
      </c>
      <c r="C30" s="15" t="s">
        <v>112</v>
      </c>
    </row>
    <row r="31" spans="1:1">
      <c r="A31" s="12" t="s">
        <v>102</v>
      </c>
    </row>
    <row r="32" spans="1:3">
      <c r="A32" s="13" t="s">
        <v>3</v>
      </c>
      <c r="B32" s="16"/>
      <c r="C32" s="15" t="s">
        <v>104</v>
      </c>
    </row>
    <row r="33" spans="1:3">
      <c r="A33" s="13" t="s">
        <v>4</v>
      </c>
      <c r="B33" s="16"/>
      <c r="C33" s="15" t="s">
        <v>89</v>
      </c>
    </row>
    <row r="34" spans="1:3">
      <c r="A34" s="13" t="s">
        <v>105</v>
      </c>
      <c r="B34" s="16" t="e">
        <f>2*PI()/B32</f>
        <v>#DIV/0!</v>
      </c>
      <c r="C34" s="15" t="s">
        <v>106</v>
      </c>
    </row>
    <row r="35" spans="1:3">
      <c r="A35" s="13" t="s">
        <v>107</v>
      </c>
      <c r="B35" s="16" t="e">
        <f>(B34^2)/(9.81*TANH((B34^2)*B17/9.81))</f>
        <v>#DIV/0!</v>
      </c>
      <c r="C35" s="15" t="s">
        <v>108</v>
      </c>
    </row>
    <row r="36" spans="1:3">
      <c r="A36" s="13" t="s">
        <v>109</v>
      </c>
      <c r="B36" s="16" t="e">
        <f>2*PI()/B35</f>
        <v>#DIV/0!</v>
      </c>
      <c r="C36" s="15" t="s">
        <v>89</v>
      </c>
    </row>
    <row r="37" spans="1:3">
      <c r="A37" s="13" t="s">
        <v>110</v>
      </c>
      <c r="B37" s="16" t="e">
        <f>B33/B36</f>
        <v>#DIV/0!</v>
      </c>
      <c r="C37" s="15" t="s">
        <v>99</v>
      </c>
    </row>
    <row r="38" spans="1:3">
      <c r="A38" s="13" t="s">
        <v>111</v>
      </c>
      <c r="B38" s="16" t="e">
        <f>B17/B36</f>
        <v>#DIV/0!</v>
      </c>
      <c r="C38" s="15" t="s">
        <v>112</v>
      </c>
    </row>
    <row r="40" spans="1:1">
      <c r="A40" s="17" t="s">
        <v>113</v>
      </c>
    </row>
    <row r="41" spans="1:3">
      <c r="A41" s="18"/>
      <c r="B41" s="19"/>
      <c r="C41" s="20"/>
    </row>
    <row r="42" spans="1:3">
      <c r="A42" s="18"/>
      <c r="B42" s="19"/>
      <c r="C42" s="20"/>
    </row>
    <row r="43" spans="1:3">
      <c r="A43" s="18"/>
      <c r="B43" s="19"/>
      <c r="C43" s="20"/>
    </row>
    <row r="44" spans="1:3">
      <c r="A44" s="18"/>
      <c r="B44" s="19"/>
      <c r="C44" s="20"/>
    </row>
    <row r="45" spans="1:3">
      <c r="A45" s="18" t="s">
        <v>117</v>
      </c>
      <c r="B45" s="19" t="s">
        <v>77</v>
      </c>
      <c r="C45" s="20"/>
    </row>
    <row r="46" spans="1:3">
      <c r="A46" s="18" t="s">
        <v>2</v>
      </c>
      <c r="B46" s="19" t="s">
        <v>138</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25</vt:i4>
      </vt:variant>
    </vt:vector>
  </HeadingPairs>
  <TitlesOfParts>
    <vt:vector size="25" baseType="lpstr">
      <vt:lpstr>OVERVIEW</vt:lpstr>
      <vt:lpstr>Buchner1995</vt:lpstr>
      <vt:lpstr>Hamoudi1998</vt:lpstr>
      <vt:lpstr>Ersdal2000</vt:lpstr>
      <vt:lpstr>Stansberg2001</vt:lpstr>
      <vt:lpstr>Cox2001</vt:lpstr>
      <vt:lpstr>Ogawa2001</vt:lpstr>
      <vt:lpstr>Faltinsen2002</vt:lpstr>
      <vt:lpstr>Ogawa2003</vt:lpstr>
      <vt:lpstr>Mori2003</vt:lpstr>
      <vt:lpstr>Greco2004</vt:lpstr>
      <vt:lpstr>Soares2005</vt:lpstr>
      <vt:lpstr>Greco2005</vt:lpstr>
      <vt:lpstr>Greco2007</vt:lpstr>
      <vt:lpstr>Greco2012</vt:lpstr>
      <vt:lpstr>Lee2012</vt:lpstr>
      <vt:lpstr>Ariyarathne2012</vt:lpstr>
      <vt:lpstr>Liut2013</vt:lpstr>
      <vt:lpstr>Song2015</vt:lpstr>
      <vt:lpstr>Scharnke2017</vt:lpstr>
      <vt:lpstr>Chuang2018</vt:lpstr>
      <vt:lpstr>Lee2020</vt:lpstr>
      <vt:lpstr>Hernandez-Fontes2020</vt:lpstr>
      <vt:lpstr>Hernandez-Fontes2020a</vt:lpstr>
      <vt:lpstr>Template</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anna</dc:creator>
  <cp:lastModifiedBy>anna</cp:lastModifiedBy>
  <dcterms:created xsi:type="dcterms:W3CDTF">2021-06-07T19:25:00Z</dcterms:created>
  <dcterms:modified xsi:type="dcterms:W3CDTF">2021-06-21T16:38:31Z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1033-11.1.0.10161</vt:lpwstr>
  </property>
</Properties>
</file>